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20" yWindow="120" windowWidth="16935" windowHeight="11475" tabRatio="792" firstSheet="2" activeTab="6"/>
  </bookViews>
  <sheets>
    <sheet name="0. Фінплан-зведені показники" sheetId="20" r:id="rId1"/>
    <sheet name="1.Фінансовий результат" sheetId="21" r:id="rId2"/>
    <sheet name="2.Розрахунки з бюджетом" sheetId="23" r:id="rId3"/>
    <sheet name="3.Рух грошових коштів" sheetId="24" r:id="rId4"/>
    <sheet name="4.Кап. інвестиції" sheetId="22" r:id="rId5"/>
    <sheet name="5. Інша інформація" sheetId="25" r:id="rId6"/>
    <sheet name="6. Кофіцієнти" sheetId="26" r:id="rId7"/>
    <sheet name="Лист1" sheetId="2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'1.Фінансовий результат'!$A$1:$G$113</definedName>
    <definedName name="_xlnm.Print_Area" localSheetId="2">'2.Розрахунки з бюджетом'!$A$1:$G$42</definedName>
    <definedName name="_xlnm.Print_Area" localSheetId="3">'3.Рух грошових коштів'!$A$1:$G$81</definedName>
    <definedName name="_xlnm.Print_Area" localSheetId="4">'4.Кап. інвестиції'!$A$1:$G$21</definedName>
    <definedName name="_xlnm.Print_Area" localSheetId="5">'5. Інша інформація'!$A$1:$X$95</definedName>
    <definedName name="_xlnm.Print_Area" localSheetId="6">'6. Кофіцієнти'!$A$1:$F$22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E109" i="21" l="1"/>
  <c r="E108" i="21"/>
  <c r="E107" i="21"/>
  <c r="E101" i="21"/>
  <c r="D16" i="22"/>
  <c r="C16" i="22"/>
  <c r="E16" i="21" l="1"/>
  <c r="F16" i="21"/>
  <c r="E17" i="21"/>
  <c r="F17" i="21"/>
  <c r="E18" i="21"/>
  <c r="F18" i="21"/>
  <c r="E19" i="21"/>
  <c r="F19" i="21"/>
  <c r="E20" i="21"/>
  <c r="F20" i="21"/>
  <c r="E21" i="21"/>
  <c r="F21" i="21"/>
  <c r="E15" i="21"/>
  <c r="F15" i="21"/>
  <c r="F14" i="21"/>
  <c r="F13" i="21"/>
  <c r="E11" i="21"/>
  <c r="F8" i="21"/>
  <c r="E62" i="25" l="1"/>
  <c r="D110" i="21" l="1"/>
  <c r="E110" i="21" s="1"/>
  <c r="D80" i="21"/>
  <c r="D77" i="21"/>
  <c r="D72" i="21"/>
  <c r="B49" i="27" l="1"/>
  <c r="B19" i="27"/>
  <c r="C14" i="27"/>
  <c r="C13" i="27"/>
  <c r="C12" i="27"/>
  <c r="C11" i="27"/>
  <c r="C10" i="27"/>
  <c r="C9" i="27"/>
  <c r="C18" i="25" l="1"/>
  <c r="D7" i="21" l="1"/>
  <c r="D13" i="21" s="1"/>
  <c r="E50" i="21"/>
  <c r="E42" i="21"/>
  <c r="C26" i="25" l="1"/>
  <c r="E17" i="26"/>
  <c r="E13" i="26"/>
  <c r="E12" i="26"/>
  <c r="B26" i="25" l="1"/>
  <c r="V81" i="25" l="1"/>
  <c r="V82" i="25"/>
  <c r="V80" i="25"/>
  <c r="B80" i="25"/>
  <c r="B82" i="25"/>
  <c r="B81" i="25"/>
  <c r="I82" i="25"/>
  <c r="I81" i="25"/>
  <c r="K81" i="25" l="1"/>
  <c r="U81" i="25"/>
  <c r="W81" i="25" s="1"/>
  <c r="U82" i="25"/>
  <c r="W82" i="25" s="1"/>
  <c r="K82" i="25"/>
  <c r="D12" i="25" l="1"/>
  <c r="L62" i="25" l="1"/>
  <c r="K62" i="25"/>
  <c r="D18" i="25" l="1"/>
  <c r="C84" i="24"/>
  <c r="D84" i="24"/>
  <c r="N105" i="21" l="1"/>
  <c r="M106" i="21"/>
  <c r="I20" i="23" l="1"/>
  <c r="E63" i="25" l="1"/>
  <c r="D108" i="21"/>
  <c r="D107" i="21"/>
  <c r="D36" i="23" l="1"/>
  <c r="D26" i="23"/>
  <c r="D22" i="21"/>
  <c r="D14" i="21" s="1"/>
  <c r="D105" i="21"/>
  <c r="D53" i="21" l="1"/>
  <c r="D31" i="21" s="1"/>
  <c r="I77" i="25" l="1"/>
  <c r="J77" i="25"/>
  <c r="I78" i="25"/>
  <c r="L78" i="25" s="1"/>
  <c r="J78" i="25"/>
  <c r="I79" i="25"/>
  <c r="J79" i="25"/>
  <c r="J76" i="25"/>
  <c r="I76" i="25"/>
  <c r="B79" i="25"/>
  <c r="B78" i="25"/>
  <c r="B77" i="25"/>
  <c r="B76" i="25"/>
  <c r="L76" i="25" l="1"/>
  <c r="I75" i="25"/>
  <c r="J75" i="25"/>
  <c r="K75" i="25" l="1"/>
  <c r="C74" i="24"/>
  <c r="D109" i="21" l="1"/>
  <c r="D106" i="21" l="1"/>
  <c r="D104" i="21" s="1"/>
  <c r="D9" i="22"/>
  <c r="D37" i="23" l="1"/>
  <c r="D85" i="21"/>
  <c r="E89" i="21"/>
  <c r="E90" i="21"/>
  <c r="F90" i="21" l="1"/>
  <c r="F37" i="23"/>
  <c r="E37" i="23"/>
  <c r="D74" i="24" l="1"/>
  <c r="I9" i="21" l="1"/>
  <c r="I7" i="21"/>
  <c r="V78" i="25" l="1"/>
  <c r="V79" i="25"/>
  <c r="J83" i="25" l="1"/>
  <c r="C73" i="24" l="1"/>
  <c r="C72" i="24"/>
  <c r="C70" i="24"/>
  <c r="C71" i="24"/>
  <c r="C69" i="24"/>
  <c r="D68" i="24"/>
  <c r="D64" i="24"/>
  <c r="C67" i="24"/>
  <c r="C66" i="24"/>
  <c r="C65" i="24"/>
  <c r="C63" i="24"/>
  <c r="C62" i="24"/>
  <c r="C60" i="24"/>
  <c r="C57" i="24"/>
  <c r="C49" i="24"/>
  <c r="C50" i="24"/>
  <c r="C51" i="24"/>
  <c r="C52" i="24"/>
  <c r="C53" i="24"/>
  <c r="C54" i="24"/>
  <c r="C55" i="24"/>
  <c r="C56" i="24"/>
  <c r="C48" i="24"/>
  <c r="C39" i="24"/>
  <c r="C40" i="24"/>
  <c r="C41" i="24"/>
  <c r="C42" i="24"/>
  <c r="C43" i="24"/>
  <c r="C44" i="24"/>
  <c r="C45" i="24"/>
  <c r="C34" i="24"/>
  <c r="C35" i="24"/>
  <c r="C36" i="24"/>
  <c r="C37" i="24"/>
  <c r="C38" i="24"/>
  <c r="C32" i="24"/>
  <c r="C33" i="24"/>
  <c r="C31" i="24"/>
  <c r="E54" i="21"/>
  <c r="F52" i="21"/>
  <c r="E33" i="21"/>
  <c r="E34" i="21"/>
  <c r="F37" i="21"/>
  <c r="F25" i="21"/>
  <c r="F10" i="21"/>
  <c r="B44" i="20"/>
  <c r="M105" i="21"/>
  <c r="N106" i="21"/>
  <c r="C10" i="25"/>
  <c r="E68" i="21" l="1"/>
  <c r="F68" i="21"/>
  <c r="C68" i="24"/>
  <c r="C64" i="24"/>
  <c r="U79" i="25"/>
  <c r="K79" i="25"/>
  <c r="U78" i="25"/>
  <c r="X78" i="25" s="1"/>
  <c r="W78" i="25" l="1"/>
  <c r="W79" i="25"/>
  <c r="D39" i="20" l="1"/>
  <c r="D43" i="20"/>
  <c r="C19" i="25"/>
  <c r="H15" i="24"/>
  <c r="D26" i="24"/>
  <c r="D57" i="24"/>
  <c r="D45" i="24"/>
  <c r="D35" i="23"/>
  <c r="D34" i="23"/>
  <c r="D33" i="23"/>
  <c r="D25" i="24"/>
  <c r="H10" i="24"/>
  <c r="D38" i="23"/>
  <c r="C21" i="25"/>
  <c r="D31" i="23" l="1"/>
  <c r="D73" i="24"/>
  <c r="D23" i="24"/>
  <c r="D22" i="24"/>
  <c r="D41" i="20"/>
  <c r="N75" i="25"/>
  <c r="F75" i="25"/>
  <c r="E75" i="25"/>
  <c r="V76" i="25"/>
  <c r="V77" i="25"/>
  <c r="R75" i="25"/>
  <c r="Q77" i="25"/>
  <c r="Q76" i="25"/>
  <c r="M77" i="25"/>
  <c r="O77" i="25" s="1"/>
  <c r="M76" i="25"/>
  <c r="O76" i="25" l="1"/>
  <c r="M75" i="25"/>
  <c r="O75" i="25" s="1"/>
  <c r="V75" i="25"/>
  <c r="D42" i="20"/>
  <c r="L75" i="25"/>
  <c r="U77" i="25"/>
  <c r="L77" i="25"/>
  <c r="P77" i="25" s="1"/>
  <c r="T77" i="25" s="1"/>
  <c r="X77" i="25"/>
  <c r="V83" i="25"/>
  <c r="G75" i="25"/>
  <c r="P76" i="25"/>
  <c r="T76" i="25" s="1"/>
  <c r="U76" i="25"/>
  <c r="U75" i="25" s="1"/>
  <c r="Q75" i="25"/>
  <c r="S75" i="25" s="1"/>
  <c r="S77" i="25"/>
  <c r="S76" i="25"/>
  <c r="H75" i="25"/>
  <c r="C22" i="25"/>
  <c r="C23" i="25"/>
  <c r="C27" i="25" s="1"/>
  <c r="C17" i="25"/>
  <c r="C25" i="25" s="1"/>
  <c r="B30" i="25"/>
  <c r="F12" i="25"/>
  <c r="F13" i="25"/>
  <c r="F14" i="25"/>
  <c r="F15" i="25"/>
  <c r="O83" i="25"/>
  <c r="W77" i="25"/>
  <c r="K76" i="25"/>
  <c r="B22" i="25"/>
  <c r="D15" i="25"/>
  <c r="D7" i="22"/>
  <c r="E17" i="22"/>
  <c r="E18" i="22"/>
  <c r="E15" i="22"/>
  <c r="E14" i="22"/>
  <c r="E8" i="22"/>
  <c r="E10" i="22"/>
  <c r="E11" i="22"/>
  <c r="E12" i="22"/>
  <c r="E13" i="22"/>
  <c r="C43" i="20"/>
  <c r="C39" i="20"/>
  <c r="F39" i="20" s="1"/>
  <c r="C42" i="20"/>
  <c r="C41" i="20"/>
  <c r="F75" i="24"/>
  <c r="E75" i="24"/>
  <c r="D34" i="20"/>
  <c r="D36" i="20"/>
  <c r="D33" i="20"/>
  <c r="D23" i="20"/>
  <c r="D24" i="20"/>
  <c r="D25" i="20"/>
  <c r="D26" i="20"/>
  <c r="C24" i="20"/>
  <c r="C25" i="20"/>
  <c r="C26" i="20"/>
  <c r="C23" i="20"/>
  <c r="D18" i="20"/>
  <c r="C18" i="20"/>
  <c r="B46" i="20"/>
  <c r="B43" i="20"/>
  <c r="B42" i="20"/>
  <c r="B41" i="20"/>
  <c r="B40" i="20"/>
  <c r="B39" i="20"/>
  <c r="B37" i="20"/>
  <c r="B36" i="20"/>
  <c r="B35" i="20"/>
  <c r="B34" i="20"/>
  <c r="B33" i="20"/>
  <c r="B32" i="20"/>
  <c r="B31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F21" i="23"/>
  <c r="F16" i="23"/>
  <c r="F32" i="23"/>
  <c r="E32" i="23"/>
  <c r="E16" i="23"/>
  <c r="F8" i="23"/>
  <c r="E8" i="23"/>
  <c r="F95" i="21"/>
  <c r="E95" i="21"/>
  <c r="F94" i="21"/>
  <c r="E94" i="21"/>
  <c r="F87" i="21"/>
  <c r="F86" i="21"/>
  <c r="F79" i="21"/>
  <c r="E78" i="21"/>
  <c r="E77" i="21"/>
  <c r="E76" i="21"/>
  <c r="E75" i="21"/>
  <c r="E74" i="21"/>
  <c r="E73" i="21"/>
  <c r="E72" i="21"/>
  <c r="E71" i="21"/>
  <c r="E66" i="21"/>
  <c r="E39" i="21"/>
  <c r="F11" i="25" l="1"/>
  <c r="B10" i="25"/>
  <c r="X76" i="25"/>
  <c r="D13" i="25"/>
  <c r="E18" i="20"/>
  <c r="D11" i="25"/>
  <c r="D14" i="25"/>
  <c r="W76" i="25"/>
  <c r="P75" i="25"/>
  <c r="T75" i="25" s="1"/>
  <c r="F10" i="25"/>
  <c r="F18" i="25"/>
  <c r="E88" i="21"/>
  <c r="F88" i="21"/>
  <c r="C20" i="25"/>
  <c r="D22" i="23"/>
  <c r="D24" i="24" s="1"/>
  <c r="F18" i="20"/>
  <c r="F23" i="20"/>
  <c r="F39" i="21"/>
  <c r="F66" i="21"/>
  <c r="F71" i="21"/>
  <c r="F72" i="21"/>
  <c r="F73" i="21"/>
  <c r="F74" i="21"/>
  <c r="F75" i="21"/>
  <c r="F76" i="21"/>
  <c r="F77" i="21"/>
  <c r="E79" i="21"/>
  <c r="E86" i="21"/>
  <c r="E87" i="21"/>
  <c r="E21" i="23"/>
  <c r="C34" i="20"/>
  <c r="E23" i="20"/>
  <c r="E24" i="20"/>
  <c r="E25" i="20"/>
  <c r="E26" i="20"/>
  <c r="E39" i="20"/>
  <c r="E41" i="20"/>
  <c r="E42" i="20"/>
  <c r="E43" i="20"/>
  <c r="F8" i="22"/>
  <c r="F10" i="22"/>
  <c r="F11" i="22"/>
  <c r="F12" i="22"/>
  <c r="F13" i="22"/>
  <c r="F14" i="22"/>
  <c r="F15" i="22"/>
  <c r="F17" i="22"/>
  <c r="F18" i="22"/>
  <c r="C9" i="22"/>
  <c r="E9" i="22" s="1"/>
  <c r="D22" i="25"/>
  <c r="D26" i="25"/>
  <c r="F22" i="25"/>
  <c r="C24" i="25"/>
  <c r="C28" i="25" s="1"/>
  <c r="F26" i="25"/>
  <c r="C30" i="25"/>
  <c r="E35" i="21"/>
  <c r="E37" i="21"/>
  <c r="E26" i="21"/>
  <c r="M104" i="21"/>
  <c r="C21" i="20"/>
  <c r="D70" i="21"/>
  <c r="D63" i="21" s="1"/>
  <c r="E16" i="22" l="1"/>
  <c r="I80" i="25"/>
  <c r="D16" i="20"/>
  <c r="D10" i="25"/>
  <c r="X75" i="25"/>
  <c r="W75" i="25"/>
  <c r="H11" i="24"/>
  <c r="I11" i="21"/>
  <c r="E34" i="20"/>
  <c r="D35" i="20"/>
  <c r="H24" i="24"/>
  <c r="H40" i="24"/>
  <c r="D46" i="20"/>
  <c r="E15" i="26"/>
  <c r="E28" i="21"/>
  <c r="F28" i="21"/>
  <c r="F24" i="21"/>
  <c r="E24" i="21"/>
  <c r="F11" i="21"/>
  <c r="E32" i="21"/>
  <c r="F32" i="21"/>
  <c r="F36" i="21"/>
  <c r="E36" i="21"/>
  <c r="E38" i="21"/>
  <c r="F38" i="21"/>
  <c r="E41" i="21"/>
  <c r="F41" i="21"/>
  <c r="E56" i="21"/>
  <c r="F56" i="21"/>
  <c r="E58" i="21"/>
  <c r="F58" i="21"/>
  <c r="E60" i="21"/>
  <c r="F60" i="21"/>
  <c r="F16" i="22"/>
  <c r="E27" i="21"/>
  <c r="F27" i="21"/>
  <c r="E25" i="21"/>
  <c r="F23" i="21"/>
  <c r="E23" i="21"/>
  <c r="E10" i="21"/>
  <c r="E8" i="21"/>
  <c r="E43" i="21"/>
  <c r="F43" i="21"/>
  <c r="E52" i="21"/>
  <c r="E55" i="21"/>
  <c r="F55" i="21"/>
  <c r="E57" i="21"/>
  <c r="F57" i="21"/>
  <c r="E59" i="21"/>
  <c r="F59" i="21"/>
  <c r="E61" i="21"/>
  <c r="F61" i="21"/>
  <c r="F9" i="22"/>
  <c r="C7" i="22"/>
  <c r="C46" i="20" s="1"/>
  <c r="D30" i="25"/>
  <c r="F30" i="25"/>
  <c r="C31" i="25"/>
  <c r="C29" i="25"/>
  <c r="E85" i="21"/>
  <c r="F85" i="21"/>
  <c r="F70" i="21"/>
  <c r="E70" i="21"/>
  <c r="E53" i="21"/>
  <c r="F53" i="21"/>
  <c r="D19" i="20"/>
  <c r="D19" i="24"/>
  <c r="D18" i="24" s="1"/>
  <c r="F22" i="21"/>
  <c r="U80" i="25" l="1"/>
  <c r="W80" i="25" s="1"/>
  <c r="K80" i="25"/>
  <c r="I83" i="25"/>
  <c r="U83" i="25" s="1"/>
  <c r="M111" i="21"/>
  <c r="D111" i="21"/>
  <c r="F35" i="23"/>
  <c r="E34" i="23"/>
  <c r="F67" i="21"/>
  <c r="E22" i="24"/>
  <c r="E106" i="21"/>
  <c r="M110" i="21"/>
  <c r="N110" i="21"/>
  <c r="D29" i="21"/>
  <c r="D91" i="21" s="1"/>
  <c r="E7" i="21"/>
  <c r="E16" i="26"/>
  <c r="D17" i="24"/>
  <c r="F7" i="22"/>
  <c r="F46" i="20"/>
  <c r="D20" i="20"/>
  <c r="E80" i="21"/>
  <c r="F80" i="21"/>
  <c r="E67" i="21"/>
  <c r="B38" i="25"/>
  <c r="B40" i="25" s="1"/>
  <c r="C15" i="20"/>
  <c r="F7" i="21"/>
  <c r="D15" i="20"/>
  <c r="D38" i="25"/>
  <c r="E22" i="21"/>
  <c r="E7" i="22"/>
  <c r="F22" i="24"/>
  <c r="F34" i="23"/>
  <c r="E40" i="21"/>
  <c r="F40" i="21"/>
  <c r="F107" i="21"/>
  <c r="F109" i="21"/>
  <c r="D21" i="20"/>
  <c r="C32" i="25"/>
  <c r="D101" i="21"/>
  <c r="E13" i="21"/>
  <c r="L83" i="25" l="1"/>
  <c r="J84" i="25"/>
  <c r="K84" i="25" s="1"/>
  <c r="K83" i="25"/>
  <c r="E105" i="21"/>
  <c r="B17" i="25"/>
  <c r="B25" i="25" s="1"/>
  <c r="F105" i="21"/>
  <c r="E33" i="23"/>
  <c r="F33" i="23"/>
  <c r="E35" i="23"/>
  <c r="F106" i="21"/>
  <c r="C20" i="20"/>
  <c r="E20" i="20" s="1"/>
  <c r="F31" i="23"/>
  <c r="D17" i="20"/>
  <c r="E7" i="26"/>
  <c r="E46" i="20"/>
  <c r="F101" i="21"/>
  <c r="D22" i="20"/>
  <c r="D96" i="21"/>
  <c r="F108" i="21"/>
  <c r="D21" i="25"/>
  <c r="F21" i="25"/>
  <c r="F25" i="24"/>
  <c r="E25" i="24"/>
  <c r="F15" i="20"/>
  <c r="E15" i="20"/>
  <c r="B23" i="25"/>
  <c r="B27" i="25" s="1"/>
  <c r="D19" i="25"/>
  <c r="F19" i="25"/>
  <c r="E21" i="20"/>
  <c r="F21" i="20"/>
  <c r="C16" i="20"/>
  <c r="E14" i="21"/>
  <c r="F17" i="25"/>
  <c r="D17" i="25"/>
  <c r="C33" i="20"/>
  <c r="E20" i="23"/>
  <c r="F20" i="23"/>
  <c r="E36" i="23"/>
  <c r="F36" i="23"/>
  <c r="F19" i="24"/>
  <c r="E19" i="24"/>
  <c r="F38" i="25"/>
  <c r="F40" i="25" s="1"/>
  <c r="H38" i="25"/>
  <c r="H40" i="25" s="1"/>
  <c r="D40" i="25"/>
  <c r="E104" i="21"/>
  <c r="F104" i="21"/>
  <c r="D97" i="21" l="1"/>
  <c r="D27" i="24" s="1"/>
  <c r="D8" i="24"/>
  <c r="B20" i="25"/>
  <c r="F20" i="25" s="1"/>
  <c r="F51" i="21"/>
  <c r="F20" i="20"/>
  <c r="E31" i="23"/>
  <c r="E63" i="21"/>
  <c r="F63" i="21"/>
  <c r="E51" i="21"/>
  <c r="D27" i="20"/>
  <c r="F23" i="24"/>
  <c r="E23" i="24"/>
  <c r="E18" i="24"/>
  <c r="F18" i="24"/>
  <c r="B29" i="25"/>
  <c r="D25" i="25"/>
  <c r="F25" i="25"/>
  <c r="D20" i="25"/>
  <c r="F33" i="20"/>
  <c r="E33" i="20"/>
  <c r="C17" i="20"/>
  <c r="E29" i="21"/>
  <c r="F29" i="21"/>
  <c r="F16" i="20"/>
  <c r="E16" i="20"/>
  <c r="F23" i="25"/>
  <c r="D23" i="25"/>
  <c r="F26" i="23"/>
  <c r="E26" i="23"/>
  <c r="B24" i="25"/>
  <c r="B28" i="25" s="1"/>
  <c r="D28" i="20" l="1"/>
  <c r="D99" i="21"/>
  <c r="F99" i="21" s="1"/>
  <c r="D102" i="21"/>
  <c r="E102" i="21" s="1"/>
  <c r="D19" i="23"/>
  <c r="E31" i="21"/>
  <c r="C19" i="20"/>
  <c r="F31" i="21"/>
  <c r="E24" i="24"/>
  <c r="F24" i="24"/>
  <c r="D24" i="25"/>
  <c r="F24" i="25"/>
  <c r="C35" i="20"/>
  <c r="E22" i="23"/>
  <c r="F22" i="23"/>
  <c r="B31" i="25"/>
  <c r="D27" i="25"/>
  <c r="F27" i="25"/>
  <c r="C22" i="20"/>
  <c r="E91" i="21"/>
  <c r="F91" i="21"/>
  <c r="F29" i="25"/>
  <c r="D29" i="25"/>
  <c r="C36" i="20"/>
  <c r="E38" i="23"/>
  <c r="F38" i="23"/>
  <c r="F17" i="20"/>
  <c r="E17" i="20"/>
  <c r="F17" i="24"/>
  <c r="E17" i="24"/>
  <c r="D18" i="23" l="1"/>
  <c r="D31" i="20" s="1"/>
  <c r="E9" i="26"/>
  <c r="E8" i="26"/>
  <c r="D32" i="20"/>
  <c r="E10" i="26"/>
  <c r="D82" i="24"/>
  <c r="D29" i="20"/>
  <c r="H8" i="24"/>
  <c r="H14" i="24" s="1"/>
  <c r="H17" i="24" s="1"/>
  <c r="F19" i="20"/>
  <c r="E19" i="20"/>
  <c r="E8" i="24"/>
  <c r="F8" i="24"/>
  <c r="F36" i="20"/>
  <c r="E36" i="20"/>
  <c r="C27" i="20"/>
  <c r="F96" i="21"/>
  <c r="E96" i="21"/>
  <c r="F35" i="20"/>
  <c r="E35" i="20"/>
  <c r="B32" i="25"/>
  <c r="D28" i="25"/>
  <c r="F28" i="25"/>
  <c r="E22" i="20"/>
  <c r="F22" i="20"/>
  <c r="F31" i="25"/>
  <c r="D31" i="25"/>
  <c r="D39" i="23" l="1"/>
  <c r="D37" i="20" s="1"/>
  <c r="D44" i="20"/>
  <c r="F27" i="20"/>
  <c r="E27" i="20"/>
  <c r="C28" i="20"/>
  <c r="F97" i="21"/>
  <c r="E97" i="21"/>
  <c r="F102" i="21"/>
  <c r="D32" i="25"/>
  <c r="F32" i="25"/>
  <c r="C32" i="20" l="1"/>
  <c r="F19" i="23"/>
  <c r="E19" i="23"/>
  <c r="F27" i="24"/>
  <c r="E27" i="24"/>
  <c r="F28" i="20"/>
  <c r="E28" i="20"/>
  <c r="C29" i="20"/>
  <c r="E99" i="21"/>
  <c r="C37" i="20" l="1"/>
  <c r="F18" i="23"/>
  <c r="E29" i="20"/>
  <c r="F29" i="20"/>
  <c r="C44" i="20"/>
  <c r="F32" i="20"/>
  <c r="E32" i="20"/>
  <c r="F44" i="20" l="1"/>
  <c r="E44" i="20"/>
  <c r="E39" i="23"/>
  <c r="E18" i="23"/>
  <c r="F39" i="23"/>
  <c r="C31" i="20"/>
  <c r="F31" i="20" s="1"/>
  <c r="E77" i="24"/>
  <c r="F77" i="24"/>
  <c r="E37" i="20"/>
  <c r="F37" i="20"/>
  <c r="E31" i="20" l="1"/>
  <c r="F74" i="24"/>
  <c r="E74" i="24"/>
  <c r="M112" i="21" l="1"/>
  <c r="D20" i="24"/>
  <c r="D21" i="24" s="1"/>
  <c r="D28" i="24" l="1"/>
  <c r="D78" i="24" s="1"/>
  <c r="D83" i="24" l="1"/>
  <c r="H75" i="24"/>
  <c r="D40" i="20"/>
  <c r="H77" i="24" l="1"/>
  <c r="I77" i="24" s="1"/>
  <c r="I75" i="24"/>
  <c r="E78" i="24"/>
  <c r="F78" i="24"/>
  <c r="F110" i="21"/>
  <c r="F111" i="21"/>
  <c r="C40" i="20" l="1"/>
  <c r="E28" i="24"/>
  <c r="F28" i="24"/>
  <c r="E20" i="24"/>
  <c r="F20" i="24"/>
  <c r="E111" i="21"/>
  <c r="F40" i="20" l="1"/>
  <c r="E40" i="20"/>
  <c r="F21" i="24"/>
  <c r="E21" i="24"/>
  <c r="X83" i="25"/>
  <c r="W83" i="25"/>
  <c r="V84" i="25"/>
  <c r="W84" i="25" s="1"/>
</calcChain>
</file>

<file path=xl/comments1.xml><?xml version="1.0" encoding="utf-8"?>
<comments xmlns="http://schemas.openxmlformats.org/spreadsheetml/2006/main">
  <authors>
    <author>Плановий</author>
    <author>User</author>
  </authors>
  <commentLis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21561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на 172особи збільш захоронекння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3074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3" authorId="0">
      <text>
        <r>
          <rPr>
            <b/>
            <sz val="9"/>
            <color indexed="81"/>
            <rFont val="Tahoma"/>
            <family val="2"/>
            <charset val="204"/>
          </rPr>
          <t>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9" authorId="0">
      <text>
        <r>
          <rPr>
            <b/>
            <sz val="9"/>
            <color indexed="81"/>
            <rFont val="Tahoma"/>
            <family val="2"/>
            <charset val="204"/>
          </rPr>
          <t>260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1977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  <author>Admin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Ф-2, код р.2515</t>
        </r>
        <r>
          <rPr>
            <sz val="9"/>
            <color indexed="81"/>
            <rFont val="Tahoma"/>
            <family val="2"/>
            <charset val="204"/>
          </rPr>
          <t xml:space="preserve">
та Витрати 2018 пстр.181+інші операт витрати  або фінрез код строчки 1290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рух коштів з ПДВ
кап інвестиц*1,2</t>
        </r>
      </text>
    </comment>
    <comment ref="D7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баланс код1165
</t>
        </r>
      </text>
    </comment>
    <comment ref="D77" authorId="1">
      <text>
        <r>
          <rPr>
            <b/>
            <sz val="8"/>
            <color indexed="81"/>
            <rFont val="Tahoma"/>
            <family val="2"/>
            <charset val="204"/>
          </rPr>
          <t>баланс код 1165</t>
        </r>
      </text>
    </comment>
  </commentList>
</comments>
</file>

<file path=xl/comments3.xml><?xml version="1.0" encoding="utf-8"?>
<comments xmlns="http://schemas.openxmlformats.org/spreadsheetml/2006/main">
  <authors>
    <author>Плановий</author>
  </authors>
  <commentList>
    <comment ref="D11" authorId="0">
      <text>
        <r>
          <rPr>
            <b/>
            <sz val="10"/>
            <color indexed="81"/>
            <rFont val="Tahoma"/>
            <family val="2"/>
            <charset val="204"/>
          </rPr>
          <t>2335000,0грн</t>
        </r>
      </text>
    </comment>
  </commentList>
</comments>
</file>

<file path=xl/sharedStrings.xml><?xml version="1.0" encoding="utf-8"?>
<sst xmlns="http://schemas.openxmlformats.org/spreadsheetml/2006/main" count="621" uniqueCount="461">
  <si>
    <t>Код рядка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</si>
  <si>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</si>
  <si>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</si>
  <si>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</si>
  <si>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</si>
  <si>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</si>
  <si>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</si>
  <si>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</si>
  <si>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</si>
  <si>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</si>
  <si>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</si>
  <si>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</si>
  <si>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</si>
  <si>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</si>
  <si>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</si>
  <si>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</si>
  <si>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</si>
  <si>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</si>
  <si>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</si>
  <si>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</si>
  <si>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</si>
  <si>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</si>
  <si>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</si>
  <si>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</si>
  <si>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</si>
  <si>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</si>
  <si>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</si>
  <si>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</si>
  <si>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</si>
  <si>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</si>
  <si>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</si>
  <si>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</si>
  <si>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</si>
  <si>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</si>
  <si>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</si>
  <si>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</si>
  <si>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</si>
  <si>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</si>
  <si>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</si>
  <si>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</si>
  <si>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</si>
  <si>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</si>
  <si>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</si>
  <si>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</si>
  <si>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</si>
  <si>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</si>
  <si>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</si>
  <si>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</si>
  <si>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</si>
  <si>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</si>
  <si>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</si>
  <si>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</si>
  <si>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</si>
  <si>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</si>
  <si>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</si>
  <si>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</si>
  <si>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</si>
  <si>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</si>
  <si>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</si>
  <si>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</si>
  <si>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</si>
  <si>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</si>
  <si>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</si>
  <si>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</si>
  <si>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</si>
  <si>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>інші платежі (розшифрувати)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</si>
  <si>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</si>
  <si>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</si>
  <si>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</si>
  <si>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</si>
  <si>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</si>
  <si>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</si>
  <si>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</si>
  <si>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</si>
  <si>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</si>
  <si>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</si>
  <si>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</si>
  <si>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</si>
  <si>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</si>
  <si>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</si>
  <si>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</si>
  <si>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</si>
  <si>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</si>
  <si>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</si>
  <si>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</si>
  <si>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</si>
  <si>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</si>
  <si>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</si>
  <si>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</si>
  <si>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</si>
  <si>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</si>
  <si>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</si>
  <si>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</si>
  <si>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</si>
  <si>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</si>
  <si>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</si>
  <si>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</si>
  <si>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</si>
  <si>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</si>
  <si>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</si>
  <si>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</si>
  <si>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</si>
  <si>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</si>
  <si>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</si>
  <si>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</si>
  <si>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</si>
  <si>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</si>
  <si>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</si>
  <si>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</si>
  <si>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</si>
  <si>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</si>
  <si>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</si>
  <si>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</si>
  <si>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</si>
  <si>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</si>
  <si>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</si>
  <si>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</si>
  <si>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</si>
  <si>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</si>
  <si>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</si>
  <si>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</si>
  <si>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</si>
  <si>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</si>
  <si>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</si>
  <si>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>Коригування на: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</si>
  <si>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</si>
  <si>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</si>
  <si>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</si>
  <si>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</si>
  <si>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</si>
  <si>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</si>
  <si>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</si>
  <si>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</si>
  <si>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</si>
  <si>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</si>
  <si>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</si>
  <si>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</si>
  <si>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</si>
  <si>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</si>
  <si>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</si>
  <si>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</si>
  <si>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</si>
  <si>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</si>
  <si>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</si>
  <si>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</si>
  <si>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</si>
  <si>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</si>
  <si>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</si>
  <si>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</si>
  <si>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</si>
  <si>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</si>
  <si>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</si>
  <si>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</si>
  <si>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</si>
  <si>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</si>
  <si>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</si>
  <si>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</si>
  <si>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</si>
  <si>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</si>
  <si>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</si>
  <si>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</si>
  <si>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</si>
  <si>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</si>
  <si>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</si>
  <si>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                      (посада)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</si>
  <si>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</si>
  <si>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</si>
  <si>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</si>
  <si>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</si>
  <si>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</si>
  <si>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</si>
  <si>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</si>
  <si>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</si>
  <si>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</si>
  <si>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</si>
  <si>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</si>
  <si>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</si>
  <si>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</si>
  <si>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</si>
  <si>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</si>
  <si>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</si>
  <si>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</si>
  <si>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</si>
  <si>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</si>
  <si>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</si>
  <si>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</si>
  <si>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</si>
  <si>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</si>
  <si>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</si>
  <si>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</si>
  <si>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</si>
  <si>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</si>
  <si>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</si>
  <si>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</si>
  <si>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</si>
  <si>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</si>
  <si>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</si>
  <si>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</si>
  <si>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</si>
  <si>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 xml:space="preserve">      Загальна інформація про підприємство (резюме)</t>
  </si>
  <si>
    <t>Мета використання</t>
  </si>
  <si>
    <t xml:space="preserve">Доходи 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</si>
  <si>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</si>
  <si>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</si>
  <si>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</si>
  <si>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</si>
  <si>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</si>
  <si>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</si>
  <si>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</si>
  <si>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</si>
  <si>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</si>
  <si>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>Інші операційні доходи</t>
  </si>
  <si>
    <t>Інші доходи</t>
  </si>
  <si>
    <t>Інші витрати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</si>
  <si>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</si>
  <si>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</si>
  <si>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</si>
  <si>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</si>
  <si>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</si>
  <si>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>Доходи від фінансової діяльності</t>
  </si>
  <si>
    <t xml:space="preserve">      8.  Капітальне будівництво (рядок 4010 таблиці 4)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</si>
  <si>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</si>
  <si>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</si>
  <si>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</si>
  <si>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</si>
  <si>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</si>
  <si>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</si>
  <si>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</si>
  <si>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</si>
  <si>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</si>
  <si>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</si>
  <si>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у тому числі</t>
  </si>
  <si>
    <t>витрати на газопостачання</t>
  </si>
  <si>
    <t>охорона обєкту</t>
  </si>
  <si>
    <t>витрати на водопостачання</t>
  </si>
  <si>
    <t xml:space="preserve">підписні видання </t>
  </si>
  <si>
    <t>послуги банку</t>
  </si>
  <si>
    <t>матеріальні вирати</t>
  </si>
  <si>
    <t>Інші операційні витрати (розшифрувати)</t>
  </si>
  <si>
    <t>оренда приміщення</t>
  </si>
  <si>
    <t>інші витрати на збут (розшифрувати)в т.ч.</t>
  </si>
  <si>
    <t>інші адміністративні витрати (розшифрувати) в т.ч.</t>
  </si>
  <si>
    <t xml:space="preserve">інші операційні витрати (розшифрувати) в т.ч. </t>
  </si>
  <si>
    <t>інші витрати (розшифрувати) в т.ч.</t>
  </si>
  <si>
    <t>Вивіз ТПВ</t>
  </si>
  <si>
    <t xml:space="preserve">витрати на зв'язок </t>
  </si>
  <si>
    <t>найманий транспорт</t>
  </si>
  <si>
    <t>Водопостачання</t>
  </si>
  <si>
    <t>Газопостачання</t>
  </si>
  <si>
    <t xml:space="preserve">зв'язок </t>
  </si>
  <si>
    <t>обслуговування РРО</t>
  </si>
  <si>
    <t>Ритуальні послуги</t>
  </si>
  <si>
    <t>службова</t>
  </si>
  <si>
    <t>Валовий прибуток /збиток</t>
  </si>
  <si>
    <t>Надходження від:</t>
  </si>
  <si>
    <t>РеалізаціЇ продукції  (товарів,робіт,послуг)</t>
  </si>
  <si>
    <t>Витрачання на оплату:</t>
  </si>
  <si>
    <t>Товарів(робіт,послуг)</t>
  </si>
  <si>
    <t>Працівникам</t>
  </si>
  <si>
    <t>3070/1</t>
  </si>
  <si>
    <t>3070/2</t>
  </si>
  <si>
    <t>Інші витрачання</t>
  </si>
  <si>
    <t>3070/1/1.</t>
  </si>
  <si>
    <t>3070/2/1.</t>
  </si>
  <si>
    <t>3070/2/2.</t>
  </si>
  <si>
    <t>3070/2/3.</t>
  </si>
  <si>
    <t>3070/2/4.</t>
  </si>
  <si>
    <t>3070/2/5.</t>
  </si>
  <si>
    <t>3070/2/6.</t>
  </si>
  <si>
    <t>капітальне будівництво</t>
  </si>
  <si>
    <t>4020/1</t>
  </si>
  <si>
    <t>А.Г. Бейн</t>
  </si>
  <si>
    <t>________________________</t>
  </si>
  <si>
    <t>1992, 2006</t>
  </si>
  <si>
    <t>1058/1</t>
  </si>
  <si>
    <t>1058/2</t>
  </si>
  <si>
    <t>1058/3</t>
  </si>
  <si>
    <t>1058/4</t>
  </si>
  <si>
    <t>1058/5</t>
  </si>
  <si>
    <t>1058/6</t>
  </si>
  <si>
    <t>1116/1</t>
  </si>
  <si>
    <t>1116/2</t>
  </si>
  <si>
    <t>1116/3</t>
  </si>
  <si>
    <t>1116/4</t>
  </si>
  <si>
    <t>1116/5</t>
  </si>
  <si>
    <t>1116/6</t>
  </si>
  <si>
    <t>1116/7</t>
  </si>
  <si>
    <t>1116/8</t>
  </si>
  <si>
    <t>1116/9</t>
  </si>
  <si>
    <t>1113/1</t>
  </si>
  <si>
    <t>2147/1</t>
  </si>
  <si>
    <t>2147/2</t>
  </si>
  <si>
    <t>2147/3</t>
  </si>
  <si>
    <t>Екологічний збір</t>
  </si>
  <si>
    <t>2147/4</t>
  </si>
  <si>
    <t>2147/5</t>
  </si>
  <si>
    <t>Військовий збір</t>
  </si>
  <si>
    <t xml:space="preserve"> </t>
  </si>
  <si>
    <t>4050/2</t>
  </si>
  <si>
    <t xml:space="preserve">   </t>
  </si>
  <si>
    <t>4020/2</t>
  </si>
  <si>
    <t>обслуговування компютера,підписні видання</t>
  </si>
  <si>
    <t>витрати на поліпшення основних фондів (поточний ремонт)</t>
  </si>
  <si>
    <t>4020/3</t>
  </si>
  <si>
    <t>4020/4</t>
  </si>
  <si>
    <t>план</t>
  </si>
  <si>
    <t xml:space="preserve">факт </t>
  </si>
  <si>
    <t>Звітний період</t>
  </si>
  <si>
    <t>факт</t>
  </si>
  <si>
    <t>відхилення, +/-</t>
  </si>
  <si>
    <t>Керівник підприємства</t>
  </si>
  <si>
    <t>виконання,%</t>
  </si>
  <si>
    <t>пояснення та обгрунтування відхилення від запланованого рівня доходів/витрат</t>
  </si>
  <si>
    <t>нарахування на заробітну плату</t>
  </si>
  <si>
    <t>Збільшення  вартості послуг</t>
  </si>
  <si>
    <t>Витрати не здійснювалися внаслідок відсутності фінансового ресурсу</t>
  </si>
  <si>
    <t>Збільшення вартості матеріалів</t>
  </si>
  <si>
    <t>Збільшення вартості послуг</t>
  </si>
  <si>
    <t xml:space="preserve">Збільшення вартості послуг 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</si>
  <si>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</si>
  <si>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 xml:space="preserve">Девіденди </t>
  </si>
  <si>
    <t>Відшкодування податку на землю</t>
  </si>
  <si>
    <t>Збір за спец.водокористування</t>
  </si>
  <si>
    <t>_____________________</t>
  </si>
  <si>
    <t xml:space="preserve">             (посада)</t>
  </si>
  <si>
    <t xml:space="preserve">       (ініціали, прізвище)    </t>
  </si>
  <si>
    <t xml:space="preserve"> А.Г. Бейн</t>
  </si>
  <si>
    <t>ЗВІТ</t>
  </si>
  <si>
    <t xml:space="preserve"> "Комбінат комунальних підприємств" Черкаської міської ради</t>
  </si>
  <si>
    <t>Витрати від фінансової  діяльності</t>
  </si>
  <si>
    <t xml:space="preserve">                  (посада)</t>
  </si>
  <si>
    <t>Зобов’язань з податків і зборів</t>
  </si>
  <si>
    <t>Надходження від отриманих:</t>
  </si>
  <si>
    <t xml:space="preserve">   (посада)</t>
  </si>
  <si>
    <t>_______</t>
  </si>
  <si>
    <t>придбання (виготовлення) основних засобів  -всього, в т.ч.</t>
  </si>
  <si>
    <t>модернізація, модифікація (добудова, дообладнання, реконструкція) основних засобів, в т.ч.</t>
  </si>
  <si>
    <t>4050/1</t>
  </si>
  <si>
    <t xml:space="preserve">      (ініціали, прізвище)    </t>
  </si>
  <si>
    <t>А. Г.  Бейн</t>
  </si>
  <si>
    <t>Оптимальне значення</t>
  </si>
  <si>
    <t>Факт відповідного періоду минулого року</t>
  </si>
  <si>
    <t>Факт за звітний період поточного року на останню дату</t>
  </si>
  <si>
    <t>Примітки</t>
  </si>
  <si>
    <t>Коефіцієнти рентабельності та прибутковості</t>
  </si>
  <si>
    <r>
      <rPr>
        <b/>
        <sz val="14"/>
        <rFont val="Times New Roman"/>
        <family val="1"/>
        <charset val="204"/>
      </rP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</si>
  <si>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t>Збільшення</t>
  </si>
  <si>
    <t>Характеризує ефективність використання активів підприємства</t>
  </si>
  <si>
    <r>
      <rPr>
        <b/>
        <sz val="14"/>
        <rFont val="Times New Roman"/>
        <family val="1"/>
        <charset val="204"/>
      </rP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</si>
  <si>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rPr>
        <b/>
        <sz val="14"/>
        <rFont val="Times New Roman"/>
        <family val="1"/>
        <charset val="204"/>
      </rP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</si>
  <si>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</si>
  <si>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</si>
  <si>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</si>
  <si>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r>
      <rPr>
        <b/>
        <sz val="14"/>
        <rFont val="Times New Roman"/>
        <family val="1"/>
        <charset val="204"/>
      </rP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</si>
  <si>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</si>
  <si>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</si>
  <si>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r>
      <rPr>
        <b/>
        <sz val="14"/>
        <rFont val="Times New Roman"/>
        <family val="1"/>
        <charset val="204"/>
      </rP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</si>
  <si>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</si>
  <si>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</si>
  <si>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t>Аналіз капітальних інвестицій</t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</si>
  <si>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 або р 100 Кап інвест/р 2515 Ф2</t>
    </r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</si>
  <si>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 або р 100 Кап інвест/р 2000 Ф2</t>
    </r>
  </si>
  <si>
    <r>
      <rPr>
        <b/>
        <sz val="14"/>
        <rFont val="Times New Roman"/>
        <family val="1"/>
        <charset val="204"/>
      </rP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</si>
  <si>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</si>
  <si>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</si>
  <si>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</si>
  <si>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Керівник  підприємства</t>
  </si>
  <si>
    <t>_________________________</t>
  </si>
  <si>
    <t xml:space="preserve">       А.Г.Бейн</t>
  </si>
  <si>
    <t xml:space="preserve">    (посада)</t>
  </si>
  <si>
    <t xml:space="preserve">(ініціали, прізвище)    </t>
  </si>
  <si>
    <r>
      <rPr>
        <b/>
        <sz val="14"/>
        <rFont val="Times New Roman"/>
        <family val="1"/>
        <charset val="204"/>
      </rP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ф.2,%)</t>
    </r>
  </si>
  <si>
    <t>Інформація</t>
  </si>
  <si>
    <t>КП "Комбінат комунальних підприємств" Черкаської міської ради</t>
  </si>
  <si>
    <t xml:space="preserve">      1. Дані про підприємство, персонал та фонд заробітної плати</t>
  </si>
  <si>
    <t>план звітного періоду</t>
  </si>
  <si>
    <t>факт звітного періоду</t>
  </si>
  <si>
    <t>відхилення,  +/-</t>
  </si>
  <si>
    <t>виконання, %</t>
  </si>
  <si>
    <t xml:space="preserve">2. Інформація про бізнес підприємства (код рядка 1040 "чистий дохід від реалізації продукції (товарів, робіт, послуг) фінансового плану) </t>
  </si>
  <si>
    <t>Плановий показник за період</t>
  </si>
  <si>
    <t>Фактичний показник за період</t>
  </si>
  <si>
    <t>Відхилення, +/-</t>
  </si>
  <si>
    <t>Виконання,%</t>
  </si>
  <si>
    <t>чистий дохід  від реалізації продукції (товарів, робіт, послуг),     тис. грн.</t>
  </si>
  <si>
    <t>кількість продукції/наданих послуг, одиниця виміру</t>
  </si>
  <si>
    <t xml:space="preserve"> 3. Діючі фінансові зобов'язання підприємства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</si>
  <si>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</si>
  <si>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</si>
  <si>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</si>
  <si>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</si>
  <si>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план </t>
  </si>
  <si>
    <r>
      <t>у тому числі:</t>
    </r>
    <r>
      <rPr>
        <i/>
        <sz val="12"/>
        <rFont val="Times New Roman"/>
        <family val="1"/>
        <charset val="204"/>
      </rPr>
      <t xml:space="preserve"> </t>
    </r>
  </si>
  <si>
    <t xml:space="preserve">  5. Витрати, пов'язані з використанням власних службових автомобілів (у складі адміністративних витрат, рядок 1041)</t>
  </si>
  <si>
    <t>Оплата праці</t>
  </si>
  <si>
    <t>відрахування на соц. заходи</t>
  </si>
  <si>
    <t>ВАЗ-2121,   Шевролет</t>
  </si>
  <si>
    <t xml:space="preserve">       6. Витрати на оренду службових автомобілів (у складі адміністративних витрат, рядок 1042)</t>
  </si>
  <si>
    <t xml:space="preserve">відхилення, +/- </t>
  </si>
  <si>
    <t>1.</t>
  </si>
  <si>
    <t>2.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</si>
  <si>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</si>
  <si>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інші джерела (зазначити джерело)</t>
  </si>
  <si>
    <t>Керівник</t>
  </si>
  <si>
    <t>А.Г.Бейн</t>
  </si>
  <si>
    <t>(ініціали,прізвище)</t>
  </si>
  <si>
    <t>1.1</t>
  </si>
  <si>
    <t>1.2</t>
  </si>
  <si>
    <t>1.3</t>
  </si>
  <si>
    <t>1.4</t>
  </si>
  <si>
    <t>Збільшення обумовлено  збільшенням вартості сировини та матеріалів</t>
  </si>
  <si>
    <t xml:space="preserve">Єдиний внесок на загальнообов'язкове  державне соціальне страхування                              </t>
  </si>
  <si>
    <t xml:space="preserve">Збільшення витрат обумовлено зростання заробітної плати відповідно змін до Галузевої заробітної плати та росту мінімальної заробітної плати </t>
  </si>
  <si>
    <t>Доходи (виручка) від реалізації продукції (товарів, робіт, послуг)</t>
  </si>
  <si>
    <t xml:space="preserve"> З ВИКОНАННЯ ФІНАНСОВОГО ПЛАНУ КОМУНАЛЬНОГО ПІДПРИЄМСТВА</t>
  </si>
  <si>
    <t>Збільшення вартості  сировини і матеріалів, витрат на оплату праці відповідно до  змін мінімальної заробітної плати</t>
  </si>
  <si>
    <t xml:space="preserve">Збільшення обумовлено  збільшення  ритуальних послуг  з комерційної діяльності </t>
  </si>
  <si>
    <t xml:space="preserve">збір за спецводокористування </t>
  </si>
  <si>
    <t>земельний податок</t>
  </si>
  <si>
    <t>екологічний податок</t>
  </si>
  <si>
    <t>податок на воду</t>
  </si>
  <si>
    <t>податок на нерухомість</t>
  </si>
  <si>
    <t>2147/6</t>
  </si>
  <si>
    <t>Податок на нерухомість</t>
  </si>
  <si>
    <t xml:space="preserve">Придбання 20 контейнерів для збирання твердих побутових відходів 1,1м3 на кладовище міста </t>
  </si>
  <si>
    <t>Екскаватор - навантажувач "Катерпіллар"</t>
  </si>
  <si>
    <t>Мікроавтобус для транспортування до моргу померлих на судмедекспертизу</t>
  </si>
  <si>
    <t xml:space="preserve">Автобус  для супроводу </t>
  </si>
  <si>
    <t xml:space="preserve">Капітальний  ремонт побутового приміщення на кладовищі </t>
  </si>
  <si>
    <t>Капітальний  ремонт туалетів на кладовищах міста</t>
  </si>
  <si>
    <t>84,3 СПЛАЧЕНО</t>
  </si>
  <si>
    <t>Зменшення відбулося за рахунок амортизації та інших витрат</t>
  </si>
  <si>
    <t>Послуги не  замовлялися, внаслідок відсутності фінансового ресурсу</t>
  </si>
  <si>
    <t xml:space="preserve"> Керівник підприємства</t>
  </si>
  <si>
    <t>Витрачання на оплату зобов’язань з ПДВ</t>
  </si>
  <si>
    <t>IІ. Розрахунки з бюджетом за  2020 рік</t>
  </si>
  <si>
    <t>I. Формування фінансових результатів за  2020 рік</t>
  </si>
  <si>
    <t>за  2020 рік</t>
  </si>
  <si>
    <t>ІІІ. Рух грошових коштів за 2020 рік</t>
  </si>
  <si>
    <t>IV. Капітальні інвестиції за 2020 рік</t>
  </si>
  <si>
    <t xml:space="preserve">до звіту про виконання фінансового плану за  2020 рік </t>
  </si>
  <si>
    <t>Усього по факту за  2020р.</t>
  </si>
  <si>
    <t>Витрати не здійснювалися внаслідок відсутності достатнього фінансового ресурсу</t>
  </si>
  <si>
    <t>Зменшення обумовлено  зменшенням ритуальних  послуг, що враховують ПДВ.</t>
  </si>
  <si>
    <t>VI. Коефіцієнтний аналіз за  2020 року</t>
  </si>
  <si>
    <t>Витрати зподатку на прибуток</t>
  </si>
  <si>
    <t>Матеріальні витрати</t>
  </si>
  <si>
    <t xml:space="preserve">від комерційної діяльності </t>
  </si>
  <si>
    <t xml:space="preserve">від місцевого бюджету                </t>
  </si>
  <si>
    <t>2.1</t>
  </si>
  <si>
    <t>2.2</t>
  </si>
  <si>
    <t xml:space="preserve"> Усього по плану   за  2020р.</t>
  </si>
  <si>
    <r>
      <t>Збільшення обумовлено  збільшення вартості та кількості ритуальних послуг  з комерційної діяльності за рахунок росту мінімальної заробітної плати та прожиткового мінімуму, згідно законодавства та збільшеного кофіцієнту  відповдно  Галузевої угоди</t>
    </r>
    <r>
      <rPr>
        <sz val="10"/>
        <color rgb="FFC00000"/>
        <rFont val="Times New Roman"/>
        <family val="1"/>
        <charset val="204"/>
      </rPr>
      <t xml:space="preserve"> </t>
    </r>
  </si>
  <si>
    <t>Збільшення відбулося за рвхунок придбання нового автотранспорту</t>
  </si>
  <si>
    <t>Зменшення витрат відбулося за рахунок зменшення витрат на заробітну плату внаслідок  неможливості переходу з початку року до заробітної плати відповідно  до Галузевої заробітної плати та росту мінімальної заробітної плати</t>
  </si>
  <si>
    <t>Зменшення обумовлено за рахунок зменшення витрат матеріальних ресурсів (паливо,запчастини)</t>
  </si>
  <si>
    <t xml:space="preserve">Зменшення витрат обумовлено недостатнім фінансовим ресурсом внаслідок чого неможливості переходу з початку року до заробітної плати відповідно  до Галузевої заробітної плати </t>
  </si>
  <si>
    <t xml:space="preserve">Збільшення витрат обумовлено зростання заробітної плати у собівартості відповідно змін до Галузевої заробітної плати та застосування коефіцієнта галузі і росту мінімальної заробітної плати </t>
  </si>
  <si>
    <t xml:space="preserve">Збільшення витрат обумовлено збільшенням кількості наданих послуг повязаних з використанням транспорту. </t>
  </si>
  <si>
    <t xml:space="preserve">Збільшення вартості  сировини, матеріалів, заробітної плати </t>
  </si>
  <si>
    <t>Грошові кошти від операційної діяльності, у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</si>
</sst>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#,##0.000"/>
    <numFmt numFmtId="179" formatCode="dd\.mm\.yyyy;@"/>
    <numFmt numFmtId="180" formatCode="0.0000"/>
    <numFmt numFmtId="181" formatCode="0.000"/>
  </numFmts>
  <fonts count="10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2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i/>
      <sz val="14"/>
      <color theme="0"/>
      <name val="Times New Roman"/>
      <family val="1"/>
      <charset val="204"/>
    </font>
    <font>
      <sz val="10"/>
      <color theme="0" tint="-0.34998626667073579"/>
      <name val="Arial Cyr"/>
      <charset val="204"/>
    </font>
    <font>
      <sz val="16"/>
      <color theme="0" tint="-0.34998626667073579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  <font>
      <b/>
      <sz val="16"/>
      <color theme="0" tint="-0.34998626667073579"/>
      <name val="Times New Roman"/>
      <family val="1"/>
      <charset val="204"/>
    </font>
    <font>
      <i/>
      <sz val="14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5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2" borderId="0" applyNumberFormat="0" applyBorder="0" applyAlignment="0" applyProtection="0"/>
    <xf numFmtId="0" fontId="13" fillId="12" borderId="0" applyNumberFormat="0" applyBorder="0" applyAlignment="0" applyProtection="0"/>
    <xf numFmtId="0" fontId="31" fillId="9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168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5" fillId="0" borderId="0" applyNumberFormat="0" applyFill="0" applyBorder="0" applyAlignment="0" applyProtection="0"/>
    <xf numFmtId="172" fontId="33" fillId="0" borderId="0" applyAlignment="0">
      <alignment wrapText="1"/>
    </xf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5" fillId="22" borderId="7">
      <alignment horizontal="left" vertical="center"/>
      <protection locked="0"/>
    </xf>
    <xf numFmtId="49" fontId="35" fillId="22" borderId="7">
      <alignment horizontal="left" vertical="center"/>
    </xf>
    <xf numFmtId="4" fontId="35" fillId="22" borderId="7">
      <alignment horizontal="right" vertical="center"/>
      <protection locked="0"/>
    </xf>
    <xf numFmtId="4" fontId="35" fillId="22" borderId="7">
      <alignment horizontal="right" vertical="center"/>
    </xf>
    <xf numFmtId="4" fontId="36" fillId="22" borderId="7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2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2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" fontId="44" fillId="0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9" fontId="43" fillId="0" borderId="3">
      <alignment horizontal="left" vertical="center"/>
      <protection locked="0"/>
    </xf>
    <xf numFmtId="49" fontId="44" fillId="0" borderId="3">
      <alignment horizontal="left" vertical="center"/>
      <protection locked="0"/>
    </xf>
    <xf numFmtId="4" fontId="43" fillId="0" borderId="3">
      <alignment horizontal="right" vertical="center"/>
      <protection locked="0"/>
    </xf>
    <xf numFmtId="0" fontId="26" fillId="0" borderId="8" applyNumberFormat="0" applyFill="0" applyAlignment="0" applyProtection="0"/>
    <xf numFmtId="0" fontId="23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7" fillId="26" borderId="3">
      <alignment horizontal="right" vertical="center"/>
      <protection locked="0"/>
    </xf>
    <xf numFmtId="4" fontId="47" fillId="27" borderId="3">
      <alignment horizontal="right" vertical="center"/>
      <protection locked="0"/>
    </xf>
    <xf numFmtId="4" fontId="47" fillId="28" borderId="3">
      <alignment horizontal="right" vertical="center"/>
      <protection locked="0"/>
    </xf>
    <xf numFmtId="0" fontId="15" fillId="20" borderId="10" applyNumberFormat="0" applyAlignment="0" applyProtection="0"/>
    <xf numFmtId="49" fontId="32" fillId="0" borderId="3">
      <alignment horizontal="left" vertical="center" wrapText="1"/>
      <protection locked="0"/>
    </xf>
    <xf numFmtId="49" fontId="32" fillId="0" borderId="3">
      <alignment horizontal="left" vertical="center" wrapText="1"/>
      <protection locked="0"/>
    </xf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7" borderId="1" applyNumberFormat="0" applyAlignment="0" applyProtection="0"/>
    <xf numFmtId="0" fontId="14" fillId="7" borderId="1" applyNumberFormat="0" applyAlignment="0" applyProtection="0"/>
    <xf numFmtId="0" fontId="49" fillId="20" borderId="10" applyNumberFormat="0" applyAlignment="0" applyProtection="0"/>
    <xf numFmtId="0" fontId="15" fillId="20" borderId="10" applyNumberFormat="0" applyAlignment="0" applyProtection="0"/>
    <xf numFmtId="0" fontId="50" fillId="20" borderId="1" applyNumberFormat="0" applyAlignment="0" applyProtection="0"/>
    <xf numFmtId="0" fontId="16" fillId="20" borderId="1" applyNumberFormat="0" applyAlignment="0" applyProtection="0"/>
    <xf numFmtId="173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1" fillId="0" borderId="4" applyNumberFormat="0" applyFill="0" applyAlignment="0" applyProtection="0"/>
    <xf numFmtId="0" fontId="17" fillId="0" borderId="4" applyNumberFormat="0" applyFill="0" applyAlignment="0" applyProtection="0"/>
    <xf numFmtId="0" fontId="52" fillId="0" borderId="5" applyNumberFormat="0" applyFill="0" applyAlignment="0" applyProtection="0"/>
    <xf numFmtId="0" fontId="18" fillId="0" borderId="5" applyNumberFormat="0" applyFill="0" applyAlignment="0" applyProtection="0"/>
    <xf numFmtId="0" fontId="53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0" fillId="0" borderId="11" applyNumberFormat="0" applyFill="0" applyAlignment="0" applyProtection="0"/>
    <xf numFmtId="0" fontId="55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7" fillId="3" borderId="0" applyNumberFormat="0" applyBorder="0" applyAlignment="0" applyProtection="0"/>
    <xf numFmtId="0" fontId="2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26" fillId="0" borderId="8" applyNumberFormat="0" applyFill="0" applyAlignment="0" applyProtection="0"/>
    <xf numFmtId="0" fontId="2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4" fillId="4" borderId="0" applyNumberFormat="0" applyBorder="0" applyAlignment="0" applyProtection="0"/>
    <xf numFmtId="0" fontId="28" fillId="4" borderId="0" applyNumberFormat="0" applyBorder="0" applyAlignment="0" applyProtection="0"/>
    <xf numFmtId="177" fontId="65" fillId="22" borderId="12" applyFill="0" applyBorder="0">
      <alignment horizontal="center" vertical="center" wrapText="1"/>
      <protection locked="0"/>
    </xf>
    <xf numFmtId="172" fontId="66" fillId="0" borderId="0">
      <alignment wrapText="1"/>
    </xf>
    <xf numFmtId="172" fontId="33" fillId="0" borderId="0">
      <alignment wrapText="1"/>
    </xf>
  </cellStyleXfs>
  <cellXfs count="502">
    <xf numFmtId="0" fontId="0" fillId="0" borderId="0" xfId="0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Fill="1" applyAlignment="1">
      <alignment vertical="center"/>
    </xf>
    <xf numFmtId="0" fontId="3" fillId="0" borderId="0" xfId="247" applyFont="1" applyFill="1" applyBorder="1" applyAlignment="1">
      <alignment horizontal="center" vertical="center" wrapText="1"/>
    </xf>
    <xf numFmtId="0" fontId="4" fillId="0" borderId="0" xfId="247" applyFont="1" applyFill="1" applyBorder="1" applyAlignment="1">
      <alignment vertical="center"/>
    </xf>
    <xf numFmtId="0" fontId="4" fillId="0" borderId="3" xfId="247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24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247" applyFont="1" applyFill="1" applyBorder="1" applyAlignment="1">
      <alignment vertical="center" wrapText="1"/>
    </xf>
    <xf numFmtId="171" fontId="4" fillId="0" borderId="0" xfId="247" applyNumberFormat="1" applyFont="1" applyFill="1" applyBorder="1" applyAlignment="1">
      <alignment horizontal="center" vertical="center" wrapText="1"/>
    </xf>
    <xf numFmtId="171" fontId="4" fillId="0" borderId="0" xfId="247" applyNumberFormat="1" applyFont="1" applyFill="1" applyBorder="1" applyAlignment="1">
      <alignment horizontal="right" vertical="center" wrapText="1"/>
    </xf>
    <xf numFmtId="0" fontId="4" fillId="0" borderId="0" xfId="247" applyFont="1" applyFill="1" applyBorder="1" applyAlignment="1">
      <alignment horizontal="left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29" borderId="3" xfId="0" applyFont="1" applyFill="1" applyBorder="1" applyAlignment="1">
      <alignment horizontal="left" vertical="center" wrapText="1"/>
    </xf>
    <xf numFmtId="171" fontId="3" fillId="0" borderId="3" xfId="0" applyNumberFormat="1" applyFont="1" applyFill="1" applyBorder="1" applyAlignment="1">
      <alignment horizontal="center" vertical="center" wrapText="1"/>
    </xf>
    <xf numFmtId="171" fontId="3" fillId="0" borderId="3" xfId="247" applyNumberFormat="1" applyFont="1" applyFill="1" applyBorder="1" applyAlignment="1">
      <alignment horizontal="center" vertical="center" wrapText="1"/>
    </xf>
    <xf numFmtId="171" fontId="4" fillId="0" borderId="3" xfId="0" quotePrefix="1" applyNumberFormat="1" applyFont="1" applyFill="1" applyBorder="1" applyAlignment="1">
      <alignment horizontal="center" vertical="center" wrapText="1"/>
    </xf>
    <xf numFmtId="171" fontId="4" fillId="0" borderId="3" xfId="247" applyNumberFormat="1" applyFont="1" applyFill="1" applyBorder="1" applyAlignment="1">
      <alignment horizontal="center" vertical="center" wrapText="1"/>
    </xf>
    <xf numFmtId="171" fontId="5" fillId="0" borderId="3" xfId="247" applyNumberFormat="1" applyFont="1" applyFill="1" applyBorder="1" applyAlignment="1">
      <alignment horizontal="center" vertical="center" wrapText="1"/>
    </xf>
    <xf numFmtId="171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left" vertical="center" wrapText="1"/>
    </xf>
    <xf numFmtId="171" fontId="68" fillId="0" borderId="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left" vertical="center" wrapText="1"/>
    </xf>
    <xf numFmtId="171" fontId="8" fillId="0" borderId="3" xfId="0" quotePrefix="1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" xfId="0" quotePrefix="1" applyFont="1" applyFill="1" applyBorder="1" applyAlignment="1">
      <alignment horizontal="center" vertical="center"/>
    </xf>
    <xf numFmtId="171" fontId="68" fillId="0" borderId="3" xfId="0" quotePrefix="1" applyNumberFormat="1" applyFont="1" applyFill="1" applyBorder="1" applyAlignment="1">
      <alignment horizontal="center" vertical="center" wrapText="1"/>
    </xf>
    <xf numFmtId="0" fontId="68" fillId="29" borderId="3" xfId="0" quotePrefix="1" applyFont="1" applyFill="1" applyBorder="1" applyAlignment="1">
      <alignment horizontal="center" vertical="center"/>
    </xf>
    <xf numFmtId="0" fontId="68" fillId="29" borderId="15" xfId="0" applyFont="1" applyFill="1" applyBorder="1" applyAlignment="1">
      <alignment horizontal="center" vertical="center"/>
    </xf>
    <xf numFmtId="0" fontId="8" fillId="0" borderId="3" xfId="0" quotePrefix="1" applyFont="1" applyFill="1" applyBorder="1" applyAlignment="1">
      <alignment horizontal="center" vertical="center" wrapText="1"/>
    </xf>
    <xf numFmtId="171" fontId="3" fillId="29" borderId="3" xfId="0" applyNumberFormat="1" applyFont="1" applyFill="1" applyBorder="1" applyAlignment="1">
      <alignment horizontal="center" vertical="center" wrapText="1"/>
    </xf>
    <xf numFmtId="171" fontId="3" fillId="0" borderId="3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0" fontId="8" fillId="0" borderId="3" xfId="0" applyNumberFormat="1" applyFont="1" applyFill="1" applyBorder="1" applyAlignment="1">
      <alignment horizontal="center" vertical="center" wrapText="1"/>
    </xf>
    <xf numFmtId="171" fontId="0" fillId="0" borderId="0" xfId="0" applyNumberFormat="1" applyBorder="1" applyAlignment="1">
      <alignment horizontal="center" vertical="center" wrapText="1"/>
    </xf>
    <xf numFmtId="171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70" fontId="3" fillId="0" borderId="3" xfId="0" applyNumberFormat="1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71" fontId="72" fillId="29" borderId="3" xfId="0" applyNumberFormat="1" applyFont="1" applyFill="1" applyBorder="1" applyAlignment="1">
      <alignment horizontal="center" vertical="center" wrapText="1"/>
    </xf>
    <xf numFmtId="171" fontId="72" fillId="0" borderId="3" xfId="0" quotePrefix="1" applyNumberFormat="1" applyFont="1" applyFill="1" applyBorder="1" applyAlignment="1">
      <alignment horizontal="center" vertical="center" wrapText="1"/>
    </xf>
    <xf numFmtId="0" fontId="72" fillId="0" borderId="3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" xfId="247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247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1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9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 shrinkToFit="1"/>
    </xf>
    <xf numFmtId="49" fontId="4" fillId="0" borderId="3" xfId="0" applyNumberFormat="1" applyFont="1" applyFill="1" applyBorder="1" applyAlignment="1">
      <alignment horizontal="left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1" fontId="69" fillId="0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171" fontId="69" fillId="0" borderId="3" xfId="0" quotePrefix="1" applyNumberFormat="1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/>
    </xf>
    <xf numFmtId="0" fontId="75" fillId="0" borderId="0" xfId="0" applyFont="1"/>
    <xf numFmtId="0" fontId="69" fillId="0" borderId="15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Alignment="1">
      <alignment horizontal="left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76" fillId="0" borderId="22" xfId="0" applyFont="1" applyFill="1" applyBorder="1" applyAlignment="1">
      <alignment vertical="center"/>
    </xf>
    <xf numFmtId="0" fontId="69" fillId="0" borderId="3" xfId="0" quotePrefix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left" vertical="center" wrapText="1"/>
    </xf>
    <xf numFmtId="3" fontId="3" fillId="26" borderId="3" xfId="0" applyNumberFormat="1" applyFont="1" applyFill="1" applyBorder="1" applyAlignment="1">
      <alignment horizontal="center" vertical="center" wrapText="1"/>
    </xf>
    <xf numFmtId="3" fontId="3" fillId="0" borderId="3" xfId="0" quotePrefix="1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76" fillId="0" borderId="3" xfId="0" quotePrefix="1" applyNumberFormat="1" applyFont="1" applyFill="1" applyBorder="1" applyAlignment="1">
      <alignment horizontal="left" vertical="top" wrapText="1"/>
    </xf>
    <xf numFmtId="3" fontId="76" fillId="0" borderId="3" xfId="0" applyNumberFormat="1" applyFont="1" applyFill="1" applyBorder="1" applyAlignment="1">
      <alignment horizontal="center" vertical="center" wrapText="1"/>
    </xf>
    <xf numFmtId="3" fontId="76" fillId="0" borderId="3" xfId="0" applyNumberFormat="1" applyFont="1" applyFill="1" applyBorder="1" applyAlignment="1">
      <alignment horizontal="left" vertical="center" wrapText="1"/>
    </xf>
    <xf numFmtId="171" fontId="76" fillId="0" borderId="3" xfId="0" applyNumberFormat="1" applyFont="1" applyFill="1" applyBorder="1" applyAlignment="1">
      <alignment horizontal="left" vertical="center" wrapText="1"/>
    </xf>
    <xf numFmtId="3" fontId="77" fillId="0" borderId="3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3" fontId="3" fillId="0" borderId="3" xfId="247" applyNumberFormat="1" applyFont="1" applyFill="1" applyBorder="1" applyAlignment="1">
      <alignment horizontal="center" vertical="center" wrapText="1"/>
    </xf>
    <xf numFmtId="3" fontId="5" fillId="0" borderId="3" xfId="247" applyNumberFormat="1" applyFont="1" applyFill="1" applyBorder="1" applyAlignment="1">
      <alignment horizontal="center" vertical="center" wrapText="1"/>
    </xf>
    <xf numFmtId="3" fontId="4" fillId="0" borderId="3" xfId="247" applyNumberFormat="1" applyFont="1" applyFill="1" applyBorder="1" applyAlignment="1">
      <alignment horizontal="center" vertical="center" wrapText="1"/>
    </xf>
    <xf numFmtId="0" fontId="3" fillId="26" borderId="3" xfId="247" applyFont="1" applyFill="1" applyBorder="1" applyAlignment="1">
      <alignment horizontal="left" vertical="center" wrapText="1"/>
    </xf>
    <xf numFmtId="171" fontId="3" fillId="26" borderId="3" xfId="247" applyNumberFormat="1" applyFont="1" applyFill="1" applyBorder="1" applyAlignment="1">
      <alignment horizontal="center" vertical="center" wrapText="1"/>
    </xf>
    <xf numFmtId="3" fontId="3" fillId="26" borderId="3" xfId="247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/>
    </xf>
    <xf numFmtId="0" fontId="5" fillId="0" borderId="3" xfId="247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71" fillId="0" borderId="3" xfId="0" applyFont="1" applyFill="1" applyBorder="1" applyAlignment="1">
      <alignment horizontal="center" vertical="center" wrapText="1"/>
    </xf>
    <xf numFmtId="0" fontId="8" fillId="0" borderId="3" xfId="247" applyFont="1" applyFill="1" applyBorder="1" applyAlignment="1">
      <alignment horizontal="center" vertical="center" wrapText="1"/>
    </xf>
    <xf numFmtId="0" fontId="68" fillId="0" borderId="3" xfId="247" applyFont="1" applyFill="1" applyBorder="1" applyAlignment="1">
      <alignment horizontal="center" vertical="center" wrapText="1"/>
    </xf>
    <xf numFmtId="0" fontId="69" fillId="0" borderId="3" xfId="247" applyFont="1" applyFill="1" applyBorder="1" applyAlignment="1">
      <alignment horizontal="center" vertical="center" wrapText="1"/>
    </xf>
    <xf numFmtId="0" fontId="68" fillId="26" borderId="3" xfId="247" applyFont="1" applyFill="1" applyBorder="1" applyAlignment="1">
      <alignment horizontal="center" vertical="center" wrapText="1"/>
    </xf>
    <xf numFmtId="0" fontId="8" fillId="0" borderId="0" xfId="247" applyFont="1" applyFill="1" applyBorder="1" applyAlignment="1">
      <alignment horizontal="center" vertical="center"/>
    </xf>
    <xf numFmtId="171" fontId="80" fillId="0" borderId="3" xfId="247" applyNumberFormat="1" applyFont="1" applyFill="1" applyBorder="1" applyAlignment="1">
      <alignment horizontal="center" vertical="center" wrapText="1"/>
    </xf>
    <xf numFmtId="0" fontId="4" fillId="0" borderId="3" xfId="182" applyFont="1" applyFill="1" applyBorder="1" applyAlignment="1">
      <alignment vertical="center" wrapText="1"/>
      <protection locked="0"/>
    </xf>
    <xf numFmtId="0" fontId="3" fillId="0" borderId="3" xfId="182" applyFont="1" applyFill="1" applyBorder="1" applyAlignment="1">
      <alignment vertical="center" wrapTex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>
      <alignment horizontal="left" wrapText="1"/>
    </xf>
    <xf numFmtId="171" fontId="5" fillId="0" borderId="0" xfId="0" applyNumberFormat="1" applyFont="1" applyFill="1" applyBorder="1" applyAlignment="1"/>
    <xf numFmtId="0" fontId="4" fillId="0" borderId="0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3" fillId="26" borderId="3" xfId="0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center" vertical="center"/>
    </xf>
    <xf numFmtId="171" fontId="3" fillId="26" borderId="3" xfId="0" applyNumberFormat="1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3" fillId="22" borderId="3" xfId="0" applyFont="1" applyFill="1" applyBorder="1" applyAlignment="1">
      <alignment horizontal="left" vertical="center" wrapText="1"/>
    </xf>
    <xf numFmtId="0" fontId="3" fillId="22" borderId="3" xfId="0" quotePrefix="1" applyNumberFormat="1" applyFont="1" applyFill="1" applyBorder="1" applyAlignment="1">
      <alignment horizontal="center" vertical="center" wrapText="1"/>
    </xf>
    <xf numFmtId="171" fontId="3" fillId="22" borderId="3" xfId="0" quotePrefix="1" applyNumberFormat="1" applyFont="1" applyFill="1" applyBorder="1" applyAlignment="1">
      <alignment horizontal="center" vertical="center" wrapText="1"/>
    </xf>
    <xf numFmtId="3" fontId="3" fillId="22" borderId="3" xfId="0" quotePrefix="1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/>
    <xf numFmtId="171" fontId="4" fillId="0" borderId="13" xfId="0" applyNumberFormat="1" applyFont="1" applyFill="1" applyBorder="1" applyAlignment="1">
      <alignment horizontal="center" wrapText="1"/>
    </xf>
    <xf numFmtId="171" fontId="73" fillId="22" borderId="3" xfId="0" quotePrefix="1" applyNumberFormat="1" applyFont="1" applyFill="1" applyBorder="1" applyAlignment="1">
      <alignment horizontal="center" vertical="center" wrapText="1"/>
    </xf>
    <xf numFmtId="171" fontId="69" fillId="22" borderId="3" xfId="0" quotePrefix="1" applyNumberFormat="1" applyFont="1" applyFill="1" applyBorder="1" applyAlignment="1">
      <alignment horizontal="center" vertical="center" wrapText="1"/>
    </xf>
    <xf numFmtId="3" fontId="69" fillId="0" borderId="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171" fontId="69" fillId="0" borderId="23" xfId="0" applyNumberFormat="1" applyFont="1" applyFill="1" applyBorder="1" applyAlignment="1">
      <alignment horizontal="center" vertical="center"/>
    </xf>
    <xf numFmtId="3" fontId="68" fillId="22" borderId="3" xfId="0" quotePrefix="1" applyNumberFormat="1" applyFont="1" applyFill="1" applyBorder="1" applyAlignment="1">
      <alignment horizontal="center" vertical="center" wrapText="1"/>
    </xf>
    <xf numFmtId="0" fontId="76" fillId="0" borderId="0" xfId="0" applyFont="1" applyFill="1"/>
    <xf numFmtId="0" fontId="8" fillId="0" borderId="18" xfId="239" applyNumberFormat="1" applyFont="1" applyFill="1" applyBorder="1" applyAlignment="1">
      <alignment horizontal="center" vertical="top" wrapText="1"/>
    </xf>
    <xf numFmtId="0" fontId="4" fillId="0" borderId="3" xfId="239" applyFont="1" applyFill="1" applyBorder="1" applyAlignment="1">
      <alignment horizontal="center" vertical="center"/>
    </xf>
    <xf numFmtId="0" fontId="4" fillId="0" borderId="3" xfId="239" applyNumberFormat="1" applyFont="1" applyFill="1" applyBorder="1" applyAlignment="1">
      <alignment horizontal="center" vertical="center" wrapText="1"/>
    </xf>
    <xf numFmtId="4" fontId="4" fillId="0" borderId="3" xfId="239" applyNumberFormat="1" applyFont="1" applyFill="1" applyBorder="1" applyAlignment="1">
      <alignment horizontal="center" vertical="center" wrapText="1"/>
    </xf>
    <xf numFmtId="0" fontId="4" fillId="0" borderId="3" xfId="239" applyNumberFormat="1" applyFont="1" applyFill="1" applyBorder="1" applyAlignment="1">
      <alignment horizontal="left" vertical="top" wrapText="1"/>
    </xf>
    <xf numFmtId="178" fontId="4" fillId="0" borderId="3" xfId="239" applyNumberFormat="1" applyFont="1" applyFill="1" applyBorder="1" applyAlignment="1">
      <alignment horizontal="center" vertical="center" wrapText="1"/>
    </xf>
    <xf numFmtId="49" fontId="8" fillId="0" borderId="3" xfId="239" applyNumberFormat="1" applyFont="1" applyFill="1" applyBorder="1" applyAlignment="1">
      <alignment horizontal="left" vertical="center" wrapText="1"/>
    </xf>
    <xf numFmtId="49" fontId="4" fillId="0" borderId="3" xfId="239" applyNumberFormat="1" applyFont="1" applyFill="1" applyBorder="1" applyAlignment="1">
      <alignment horizontal="left" vertical="center" wrapText="1"/>
    </xf>
    <xf numFmtId="0" fontId="4" fillId="0" borderId="3" xfId="239" applyNumberFormat="1" applyFont="1" applyFill="1" applyBorder="1" applyAlignment="1">
      <alignment horizontal="left" vertical="center" wrapText="1"/>
    </xf>
    <xf numFmtId="171" fontId="4" fillId="0" borderId="3" xfId="239" applyNumberFormat="1" applyFont="1" applyFill="1" applyBorder="1" applyAlignment="1">
      <alignment horizontal="center" vertical="center" wrapText="1"/>
    </xf>
    <xf numFmtId="4" fontId="4" fillId="0" borderId="3" xfId="239" applyNumberFormat="1" applyFont="1" applyFill="1" applyBorder="1" applyAlignment="1">
      <alignment horizontal="left" vertical="center" wrapText="1"/>
    </xf>
    <xf numFmtId="178" fontId="4" fillId="0" borderId="3" xfId="239" applyNumberFormat="1" applyFont="1" applyFill="1" applyBorder="1" applyAlignment="1">
      <alignment horizontal="left" vertical="center" wrapText="1"/>
    </xf>
    <xf numFmtId="171" fontId="3" fillId="0" borderId="0" xfId="0" quotePrefix="1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1" fillId="0" borderId="0" xfId="0" applyFont="1" applyFill="1"/>
    <xf numFmtId="0" fontId="8" fillId="0" borderId="3" xfId="0" applyFont="1" applyFill="1" applyBorder="1" applyAlignment="1">
      <alignment horizontal="center" vertical="top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1" fontId="67" fillId="0" borderId="0" xfId="0" applyNumberFormat="1" applyFont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center" wrapText="1" shrinkToFit="1"/>
    </xf>
    <xf numFmtId="0" fontId="78" fillId="0" borderId="3" xfId="0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/>
    </xf>
    <xf numFmtId="171" fontId="77" fillId="0" borderId="3" xfId="0" applyNumberFormat="1" applyFont="1" applyFill="1" applyBorder="1" applyAlignment="1">
      <alignment horizontal="center" vertical="center" wrapText="1"/>
    </xf>
    <xf numFmtId="49" fontId="76" fillId="0" borderId="14" xfId="0" applyNumberFormat="1" applyFont="1" applyFill="1" applyBorder="1" applyAlignment="1">
      <alignment horizontal="center" vertical="center" wrapText="1"/>
    </xf>
    <xf numFmtId="49" fontId="76" fillId="0" borderId="3" xfId="0" applyNumberFormat="1" applyFont="1" applyFill="1" applyBorder="1" applyAlignment="1">
      <alignment horizontal="center" vertical="center" wrapText="1"/>
    </xf>
    <xf numFmtId="171" fontId="76" fillId="0" borderId="3" xfId="0" applyNumberFormat="1" applyFont="1" applyFill="1" applyBorder="1" applyAlignment="1">
      <alignment horizontal="center" vertical="center" wrapText="1"/>
    </xf>
    <xf numFmtId="3" fontId="76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3" fillId="0" borderId="0" xfId="0" applyFont="1" applyFill="1" applyAlignment="1"/>
    <xf numFmtId="0" fontId="71" fillId="0" borderId="0" xfId="0" applyFont="1" applyFill="1" applyAlignment="1">
      <alignment vertical="center"/>
    </xf>
    <xf numFmtId="0" fontId="8" fillId="0" borderId="14" xfId="0" applyFont="1" applyBorder="1" applyAlignment="1">
      <alignment horizontal="center" vertical="top"/>
    </xf>
    <xf numFmtId="171" fontId="77" fillId="0" borderId="1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center" vertical="center" wrapText="1"/>
    </xf>
    <xf numFmtId="171" fontId="82" fillId="30" borderId="3" xfId="0" applyNumberFormat="1" applyFont="1" applyFill="1" applyBorder="1" applyAlignment="1">
      <alignment horizontal="center" vertical="center" wrapText="1"/>
    </xf>
    <xf numFmtId="171" fontId="83" fillId="30" borderId="3" xfId="0" applyNumberFormat="1" applyFont="1" applyFill="1" applyBorder="1" applyAlignment="1">
      <alignment horizontal="center" vertical="center" wrapText="1"/>
    </xf>
    <xf numFmtId="3" fontId="4" fillId="31" borderId="3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6" fillId="0" borderId="3" xfId="0" applyNumberFormat="1" applyFont="1" applyFill="1" applyBorder="1" applyAlignment="1">
      <alignment horizontal="center" vertical="center" wrapText="1"/>
    </xf>
    <xf numFmtId="171" fontId="83" fillId="0" borderId="3" xfId="0" applyNumberFormat="1" applyFont="1" applyFill="1" applyBorder="1" applyAlignment="1">
      <alignment horizontal="center" vertical="center" wrapText="1"/>
    </xf>
    <xf numFmtId="171" fontId="87" fillId="22" borderId="3" xfId="0" quotePrefix="1" applyNumberFormat="1" applyFont="1" applyFill="1" applyBorder="1" applyAlignment="1">
      <alignment horizontal="center" vertical="center" wrapText="1"/>
    </xf>
    <xf numFmtId="171" fontId="86" fillId="22" borderId="3" xfId="0" quotePrefix="1" applyNumberFormat="1" applyFont="1" applyFill="1" applyBorder="1" applyAlignment="1">
      <alignment horizontal="center" vertical="center" wrapText="1"/>
    </xf>
    <xf numFmtId="171" fontId="82" fillId="22" borderId="3" xfId="0" quotePrefix="1" applyNumberFormat="1" applyFont="1" applyFill="1" applyBorder="1" applyAlignment="1">
      <alignment horizontal="center" vertical="center" wrapText="1"/>
    </xf>
    <xf numFmtId="171" fontId="88" fillId="22" borderId="3" xfId="0" quotePrefix="1" applyNumberFormat="1" applyFont="1" applyFill="1" applyBorder="1" applyAlignment="1">
      <alignment horizontal="center" vertical="center" wrapText="1"/>
    </xf>
    <xf numFmtId="3" fontId="89" fillId="0" borderId="3" xfId="0" applyNumberFormat="1" applyFont="1" applyFill="1" applyBorder="1" applyAlignment="1">
      <alignment horizontal="left" vertical="top" wrapText="1"/>
    </xf>
    <xf numFmtId="3" fontId="89" fillId="0" borderId="3" xfId="0" applyNumberFormat="1" applyFont="1" applyFill="1" applyBorder="1" applyAlignment="1">
      <alignment horizontal="center" vertical="center" wrapText="1"/>
    </xf>
    <xf numFmtId="3" fontId="89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81" fillId="0" borderId="3" xfId="0" applyNumberFormat="1" applyFont="1" applyFill="1" applyBorder="1" applyAlignment="1">
      <alignment horizontal="center" vertical="center" wrapText="1"/>
    </xf>
    <xf numFmtId="171" fontId="90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/>
    </xf>
    <xf numFmtId="0" fontId="75" fillId="0" borderId="3" xfId="0" applyFont="1" applyBorder="1"/>
    <xf numFmtId="171" fontId="4" fillId="3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171" fontId="5" fillId="30" borderId="3" xfId="247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 shrinkToFit="1"/>
    </xf>
    <xf numFmtId="3" fontId="89" fillId="30" borderId="3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171" fontId="4" fillId="0" borderId="16" xfId="0" applyNumberFormat="1" applyFont="1" applyFill="1" applyBorder="1" applyAlignment="1">
      <alignment vertical="center" wrapText="1"/>
    </xf>
    <xf numFmtId="171" fontId="83" fillId="0" borderId="17" xfId="0" applyNumberFormat="1" applyFont="1" applyFill="1" applyBorder="1" applyAlignment="1">
      <alignment vertical="center" wrapText="1"/>
    </xf>
    <xf numFmtId="171" fontId="89" fillId="0" borderId="3" xfId="0" applyNumberFormat="1" applyFont="1" applyFill="1" applyBorder="1" applyAlignment="1">
      <alignment horizontal="center" vertical="center" wrapText="1"/>
    </xf>
    <xf numFmtId="3" fontId="76" fillId="0" borderId="17" xfId="0" applyNumberFormat="1" applyFont="1" applyFill="1" applyBorder="1" applyAlignment="1">
      <alignment horizontal="center" vertical="center" wrapText="1"/>
    </xf>
    <xf numFmtId="171" fontId="76" fillId="0" borderId="17" xfId="0" applyNumberFormat="1" applyFont="1" applyFill="1" applyBorder="1" applyAlignment="1">
      <alignment horizontal="center" vertical="center" wrapText="1"/>
    </xf>
    <xf numFmtId="171" fontId="80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77" fillId="29" borderId="3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180" fontId="67" fillId="0" borderId="0" xfId="0" applyNumberFormat="1" applyFont="1" applyAlignment="1">
      <alignment horizontal="left"/>
    </xf>
    <xf numFmtId="3" fontId="8" fillId="0" borderId="3" xfId="0" applyNumberFormat="1" applyFont="1" applyFill="1" applyBorder="1" applyAlignment="1">
      <alignment horizontal="center" vertical="center" wrapText="1"/>
    </xf>
    <xf numFmtId="171" fontId="92" fillId="22" borderId="3" xfId="0" quotePrefix="1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vertical="top" wrapText="1"/>
    </xf>
    <xf numFmtId="3" fontId="8" fillId="30" borderId="3" xfId="0" applyNumberFormat="1" applyFont="1" applyFill="1" applyBorder="1" applyAlignment="1">
      <alignment horizontal="left" vertical="center" wrapText="1"/>
    </xf>
    <xf numFmtId="0" fontId="3" fillId="29" borderId="3" xfId="0" applyFont="1" applyFill="1" applyBorder="1" applyAlignment="1">
      <alignment horizontal="left" vertical="top" wrapText="1"/>
    </xf>
    <xf numFmtId="0" fontId="68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171" fontId="8" fillId="0" borderId="3" xfId="0" applyNumberFormat="1" applyFont="1" applyFill="1" applyBorder="1" applyAlignment="1">
      <alignment horizontal="center" vertical="center" wrapText="1"/>
    </xf>
    <xf numFmtId="0" fontId="69" fillId="3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top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94" fillId="0" borderId="0" xfId="0" applyFont="1" applyFill="1" applyBorder="1" applyAlignment="1">
      <alignment horizontal="center" vertical="center" wrapText="1"/>
    </xf>
    <xf numFmtId="171" fontId="8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171" fontId="95" fillId="0" borderId="3" xfId="247" applyNumberFormat="1" applyFont="1" applyFill="1" applyBorder="1" applyAlignment="1">
      <alignment horizontal="center" vertical="center" wrapText="1"/>
    </xf>
    <xf numFmtId="171" fontId="96" fillId="0" borderId="3" xfId="247" applyNumberFormat="1" applyFont="1" applyFill="1" applyBorder="1" applyAlignment="1">
      <alignment horizontal="center" vertical="center" wrapText="1"/>
    </xf>
    <xf numFmtId="171" fontId="8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8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4" fillId="30" borderId="3" xfId="0" quotePrefix="1" applyNumberFormat="1" applyFont="1" applyFill="1" applyBorder="1" applyAlignment="1">
      <alignment horizontal="center" vertical="center" wrapText="1"/>
    </xf>
    <xf numFmtId="3" fontId="76" fillId="0" borderId="3" xfId="0" applyNumberFormat="1" applyFont="1" applyFill="1" applyBorder="1" applyAlignment="1">
      <alignment horizontal="left" vertical="top" wrapText="1"/>
    </xf>
    <xf numFmtId="3" fontId="76" fillId="0" borderId="18" xfId="0" applyNumberFormat="1" applyFont="1" applyFill="1" applyBorder="1" applyAlignment="1">
      <alignment vertical="center" wrapText="1"/>
    </xf>
    <xf numFmtId="3" fontId="76" fillId="0" borderId="3" xfId="0" applyNumberFormat="1" applyFont="1" applyFill="1" applyBorder="1" applyAlignment="1">
      <alignment vertical="center" wrapText="1"/>
    </xf>
    <xf numFmtId="171" fontId="82" fillId="0" borderId="3" xfId="0" applyNumberFormat="1" applyFont="1" applyFill="1" applyBorder="1" applyAlignment="1">
      <alignment horizontal="center" vertical="center" wrapText="1"/>
    </xf>
    <xf numFmtId="171" fontId="92" fillId="0" borderId="3" xfId="0" applyNumberFormat="1" applyFont="1" applyFill="1" applyBorder="1" applyAlignment="1">
      <alignment horizontal="center" vertical="center" wrapText="1"/>
    </xf>
    <xf numFmtId="3" fontId="76" fillId="30" borderId="3" xfId="0" applyNumberFormat="1" applyFont="1" applyFill="1" applyBorder="1" applyAlignment="1">
      <alignment vertical="center" wrapText="1"/>
    </xf>
    <xf numFmtId="4" fontId="5" fillId="0" borderId="3" xfId="247" applyNumberFormat="1" applyFont="1" applyFill="1" applyBorder="1" applyAlignment="1">
      <alignment horizontal="center" vertical="center" wrapText="1"/>
    </xf>
    <xf numFmtId="0" fontId="4" fillId="0" borderId="3" xfId="247" applyFont="1" applyFill="1" applyBorder="1" applyAlignment="1">
      <alignment vertical="center"/>
    </xf>
    <xf numFmtId="3" fontId="80" fillId="0" borderId="3" xfId="0" applyNumberFormat="1" applyFont="1" applyFill="1" applyBorder="1" applyAlignment="1">
      <alignment horizontal="center" vertical="center" wrapText="1"/>
    </xf>
    <xf numFmtId="3" fontId="98" fillId="0" borderId="3" xfId="0" applyNumberFormat="1" applyFont="1" applyFill="1" applyBorder="1" applyAlignment="1">
      <alignment horizontal="center" vertical="center" wrapText="1"/>
    </xf>
    <xf numFmtId="3" fontId="87" fillId="0" borderId="3" xfId="0" applyNumberFormat="1" applyFont="1" applyFill="1" applyBorder="1" applyAlignment="1">
      <alignment horizontal="center" vertical="center" wrapText="1"/>
    </xf>
    <xf numFmtId="171" fontId="87" fillId="0" borderId="3" xfId="0" applyNumberFormat="1" applyFont="1" applyFill="1" applyBorder="1" applyAlignment="1">
      <alignment horizontal="center" vertical="center" wrapText="1"/>
    </xf>
    <xf numFmtId="0" fontId="99" fillId="0" borderId="0" xfId="0" applyFont="1"/>
    <xf numFmtId="171" fontId="100" fillId="31" borderId="14" xfId="0" quotePrefix="1" applyNumberFormat="1" applyFont="1" applyFill="1" applyBorder="1" applyAlignment="1">
      <alignment horizontal="left" vertical="center" wrapText="1"/>
    </xf>
    <xf numFmtId="171" fontId="101" fillId="0" borderId="14" xfId="0" applyNumberFormat="1" applyFont="1" applyFill="1" applyBorder="1" applyAlignment="1">
      <alignment horizontal="center" vertical="center" wrapText="1"/>
    </xf>
    <xf numFmtId="171" fontId="99" fillId="0" borderId="0" xfId="0" applyNumberFormat="1" applyFont="1" applyAlignment="1">
      <alignment horizontal="left"/>
    </xf>
    <xf numFmtId="171" fontId="102" fillId="0" borderId="14" xfId="0" applyNumberFormat="1" applyFont="1" applyFill="1" applyBorder="1" applyAlignment="1">
      <alignment horizontal="center" vertical="center" wrapText="1"/>
    </xf>
    <xf numFmtId="171" fontId="102" fillId="31" borderId="14" xfId="0" applyNumberFormat="1" applyFont="1" applyFill="1" applyBorder="1" applyAlignment="1">
      <alignment horizontal="left" vertical="center" wrapText="1"/>
    </xf>
    <xf numFmtId="171" fontId="99" fillId="0" borderId="0" xfId="0" applyNumberFormat="1" applyFont="1"/>
    <xf numFmtId="171" fontId="103" fillId="0" borderId="14" xfId="0" quotePrefix="1" applyNumberFormat="1" applyFont="1" applyFill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3" fontId="76" fillId="22" borderId="3" xfId="0" applyNumberFormat="1" applyFont="1" applyFill="1" applyBorder="1" applyAlignment="1">
      <alignment vertical="center" wrapText="1"/>
    </xf>
    <xf numFmtId="170" fontId="80" fillId="0" borderId="3" xfId="0" applyNumberFormat="1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3" fontId="104" fillId="0" borderId="3" xfId="247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3" xfId="247" applyFont="1" applyFill="1" applyBorder="1" applyAlignment="1">
      <alignment horizontal="left" vertical="center" wrapText="1"/>
    </xf>
    <xf numFmtId="171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106" fillId="0" borderId="17" xfId="0" applyNumberFormat="1" applyFont="1" applyFill="1" applyBorder="1" applyAlignment="1">
      <alignment horizontal="center" vertical="center" wrapText="1"/>
    </xf>
    <xf numFmtId="171" fontId="106" fillId="0" borderId="3" xfId="0" applyNumberFormat="1" applyFont="1" applyFill="1" applyBorder="1" applyAlignment="1">
      <alignment horizontal="center" vertical="center" wrapText="1"/>
    </xf>
    <xf numFmtId="3" fontId="106" fillId="0" borderId="3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171" fontId="8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105" fillId="0" borderId="3" xfId="0" applyNumberFormat="1" applyFont="1" applyFill="1" applyBorder="1" applyAlignment="1">
      <alignment horizontal="center" vertical="center" wrapText="1"/>
    </xf>
    <xf numFmtId="178" fontId="4" fillId="30" borderId="3" xfId="239" applyNumberFormat="1" applyFont="1" applyFill="1" applyBorder="1" applyAlignment="1">
      <alignment horizontal="center" vertical="center" wrapText="1"/>
    </xf>
    <xf numFmtId="0" fontId="8" fillId="30" borderId="3" xfId="0" applyFont="1" applyFill="1" applyBorder="1" applyAlignment="1">
      <alignment horizontal="center" vertical="center" wrapText="1"/>
    </xf>
    <xf numFmtId="170" fontId="8" fillId="30" borderId="3" xfId="0" applyNumberFormat="1" applyFont="1" applyFill="1" applyBorder="1" applyAlignment="1">
      <alignment horizontal="center" vertical="center" wrapText="1"/>
    </xf>
    <xf numFmtId="171" fontId="69" fillId="0" borderId="3" xfId="0" applyNumberFormat="1" applyFont="1" applyFill="1" applyBorder="1" applyAlignment="1">
      <alignment horizontal="center" vertical="center"/>
    </xf>
    <xf numFmtId="171" fontId="83" fillId="0" borderId="3" xfId="0" quotePrefix="1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left" vertical="center" wrapText="1"/>
    </xf>
    <xf numFmtId="171" fontId="95" fillId="0" borderId="3" xfId="0" applyNumberFormat="1" applyFont="1" applyFill="1" applyBorder="1" applyAlignment="1">
      <alignment horizontal="center" vertical="center" wrapText="1"/>
    </xf>
    <xf numFmtId="181" fontId="0" fillId="0" borderId="0" xfId="0" applyNumberFormat="1"/>
    <xf numFmtId="2" fontId="0" fillId="0" borderId="0" xfId="0" applyNumberFormat="1"/>
    <xf numFmtId="0" fontId="95" fillId="0" borderId="0" xfId="0" applyFont="1"/>
    <xf numFmtId="171" fontId="8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4" fillId="30" borderId="3" xfId="239" applyNumberFormat="1" applyFont="1" applyFill="1" applyBorder="1" applyAlignment="1">
      <alignment horizontal="center" vertical="center" wrapText="1"/>
    </xf>
    <xf numFmtId="0" fontId="3" fillId="0" borderId="3" xfId="247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30" borderId="14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0" borderId="3" xfId="0" applyNumberFormat="1" applyFont="1" applyFill="1" applyBorder="1" applyAlignment="1">
      <alignment horizontal="center" vertical="center" wrapText="1"/>
    </xf>
    <xf numFmtId="171" fontId="0" fillId="0" borderId="3" xfId="0" applyNumberFormat="1" applyFont="1" applyBorder="1" applyAlignment="1">
      <alignment horizontal="left"/>
    </xf>
    <xf numFmtId="171" fontId="4" fillId="30" borderId="3" xfId="24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8" fillId="0" borderId="3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top" wrapText="1" shrinkToFit="1"/>
    </xf>
    <xf numFmtId="0" fontId="8" fillId="0" borderId="21" xfId="0" applyFont="1" applyFill="1" applyBorder="1" applyAlignment="1">
      <alignment horizontal="center" vertical="top" wrapText="1" shrinkToFit="1"/>
    </xf>
    <xf numFmtId="3" fontId="76" fillId="22" borderId="18" xfId="0" applyNumberFormat="1" applyFont="1" applyFill="1" applyBorder="1" applyAlignment="1">
      <alignment horizontal="left" vertical="top" wrapText="1"/>
    </xf>
    <xf numFmtId="3" fontId="76" fillId="22" borderId="15" xfId="0" applyNumberFormat="1" applyFont="1" applyFill="1" applyBorder="1" applyAlignment="1">
      <alignment horizontal="left" vertical="top" wrapText="1"/>
    </xf>
    <xf numFmtId="3" fontId="76" fillId="22" borderId="18" xfId="0" applyNumberFormat="1" applyFont="1" applyFill="1" applyBorder="1" applyAlignment="1">
      <alignment horizontal="left" vertical="center" wrapText="1"/>
    </xf>
    <xf numFmtId="3" fontId="76" fillId="22" borderId="15" xfId="0" applyNumberFormat="1" applyFont="1" applyFill="1" applyBorder="1" applyAlignment="1">
      <alignment horizontal="left" vertical="center" wrapText="1"/>
    </xf>
    <xf numFmtId="3" fontId="76" fillId="0" borderId="18" xfId="0" applyNumberFormat="1" applyFont="1" applyFill="1" applyBorder="1" applyAlignment="1">
      <alignment horizontal="left" vertical="top" wrapText="1"/>
    </xf>
    <xf numFmtId="3" fontId="76" fillId="0" borderId="15" xfId="0" applyNumberFormat="1" applyFont="1" applyFill="1" applyBorder="1" applyAlignment="1">
      <alignment horizontal="left" vertical="top" wrapText="1"/>
    </xf>
    <xf numFmtId="0" fontId="76" fillId="0" borderId="18" xfId="0" applyFont="1" applyFill="1" applyBorder="1" applyAlignment="1">
      <alignment horizontal="left" vertical="top" wrapText="1"/>
    </xf>
    <xf numFmtId="0" fontId="76" fillId="0" borderId="20" xfId="0" applyFont="1" applyFill="1" applyBorder="1" applyAlignment="1">
      <alignment horizontal="left" vertical="top" wrapText="1"/>
    </xf>
    <xf numFmtId="171" fontId="76" fillId="0" borderId="18" xfId="0" applyNumberFormat="1" applyFont="1" applyFill="1" applyBorder="1" applyAlignment="1">
      <alignment horizontal="left" vertical="center" wrapText="1"/>
    </xf>
    <xf numFmtId="171" fontId="76" fillId="0" borderId="15" xfId="0" applyNumberFormat="1" applyFont="1" applyFill="1" applyBorder="1" applyAlignment="1">
      <alignment horizontal="left" vertical="center" wrapText="1"/>
    </xf>
    <xf numFmtId="0" fontId="3" fillId="0" borderId="0" xfId="247" applyFont="1" applyFill="1" applyBorder="1" applyAlignment="1">
      <alignment horizontal="center" vertical="center"/>
    </xf>
    <xf numFmtId="0" fontId="8" fillId="0" borderId="18" xfId="247" applyFont="1" applyFill="1" applyBorder="1" applyAlignment="1">
      <alignment horizontal="center" vertical="top" wrapText="1"/>
    </xf>
    <xf numFmtId="0" fontId="8" fillId="0" borderId="15" xfId="247" applyFont="1" applyFill="1" applyBorder="1" applyAlignment="1">
      <alignment horizontal="center" vertical="top" wrapText="1"/>
    </xf>
    <xf numFmtId="0" fontId="3" fillId="0" borderId="3" xfId="247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4" fillId="0" borderId="18" xfId="247" applyFont="1" applyFill="1" applyBorder="1" applyAlignment="1">
      <alignment horizontal="center" vertical="top" wrapText="1"/>
    </xf>
    <xf numFmtId="0" fontId="4" fillId="0" borderId="15" xfId="247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 shrinkToFit="1"/>
    </xf>
    <xf numFmtId="0" fontId="4" fillId="0" borderId="15" xfId="0" applyFont="1" applyFill="1" applyBorder="1" applyAlignment="1">
      <alignment horizontal="center" vertical="top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 shrinkToFit="1"/>
    </xf>
    <xf numFmtId="0" fontId="8" fillId="0" borderId="3" xfId="0" applyFont="1" applyFill="1" applyBorder="1" applyAlignment="1">
      <alignment horizontal="center" vertical="top" wrapText="1"/>
    </xf>
    <xf numFmtId="0" fontId="71" fillId="0" borderId="23" xfId="0" applyFont="1" applyFill="1" applyBorder="1" applyAlignment="1">
      <alignment horizontal="center" vertical="top" wrapText="1" shrinkToFit="1"/>
    </xf>
    <xf numFmtId="0" fontId="71" fillId="0" borderId="21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67" fillId="0" borderId="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171" fontId="8" fillId="0" borderId="3" xfId="0" applyNumberFormat="1" applyFont="1" applyFill="1" applyBorder="1" applyAlignment="1">
      <alignment horizontal="center" vertical="center" wrapText="1"/>
    </xf>
    <xf numFmtId="171" fontId="67" fillId="0" borderId="3" xfId="0" applyNumberFormat="1" applyFont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3" xfId="0" applyFont="1" applyFill="1" applyBorder="1" applyAlignment="1">
      <alignment vertical="center"/>
    </xf>
    <xf numFmtId="0" fontId="67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top" wrapText="1"/>
    </xf>
    <xf numFmtId="0" fontId="67" fillId="0" borderId="3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30" borderId="17" xfId="0" applyNumberFormat="1" applyFont="1" applyFill="1" applyBorder="1" applyAlignment="1">
      <alignment horizontal="center" vertical="center" wrapText="1"/>
    </xf>
    <xf numFmtId="4" fontId="8" fillId="30" borderId="14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left" vertical="center"/>
    </xf>
    <xf numFmtId="0" fontId="67" fillId="0" borderId="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 wrapText="1"/>
    </xf>
    <xf numFmtId="0" fontId="67" fillId="0" borderId="20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3" fontId="8" fillId="0" borderId="17" xfId="0" applyNumberFormat="1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top" wrapText="1"/>
    </xf>
    <xf numFmtId="0" fontId="69" fillId="0" borderId="16" xfId="0" applyFont="1" applyBorder="1" applyAlignment="1">
      <alignment horizontal="left" vertical="top" wrapText="1"/>
    </xf>
    <xf numFmtId="0" fontId="69" fillId="0" borderId="14" xfId="0" applyFont="1" applyBorder="1" applyAlignment="1">
      <alignment horizontal="left" vertical="top" wrapText="1"/>
    </xf>
    <xf numFmtId="0" fontId="68" fillId="0" borderId="3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67" fillId="0" borderId="16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3" fillId="0" borderId="0" xfId="239" applyNumberFormat="1" applyFont="1" applyFill="1" applyBorder="1" applyAlignment="1">
      <alignment horizontal="center" vertical="center" wrapText="1"/>
    </xf>
    <xf numFmtId="0" fontId="3" fillId="0" borderId="17" xfId="239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7" xfId="239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center"/>
    </xf>
    <xf numFmtId="4" fontId="8" fillId="30" borderId="3" xfId="0" applyNumberFormat="1" applyFont="1" applyFill="1" applyBorder="1" applyAlignment="1">
      <alignment horizontal="center" vertical="center" wrapText="1"/>
    </xf>
    <xf numFmtId="4" fontId="8" fillId="30" borderId="3" xfId="0" applyNumberFormat="1" applyFont="1" applyFill="1" applyBorder="1" applyAlignment="1">
      <alignment horizontal="center" vertical="center" wrapText="1"/>
    </xf>
    <xf numFmtId="2" fontId="8" fillId="30" borderId="3" xfId="0" applyNumberFormat="1" applyFont="1" applyFill="1" applyBorder="1" applyAlignment="1">
      <alignment horizontal="center" vertical="center" wrapText="1"/>
    </xf>
    <xf numFmtId="2" fontId="8" fillId="30" borderId="14" xfId="0" applyNumberFormat="1" applyFont="1" applyFill="1" applyBorder="1" applyAlignment="1">
      <alignment horizontal="center" vertical="center" wrapText="1"/>
    </xf>
    <xf numFmtId="170" fontId="8" fillId="30" borderId="17" xfId="0" applyNumberFormat="1" applyFont="1" applyFill="1" applyBorder="1" applyAlignment="1">
      <alignment horizontal="center" vertical="center" wrapText="1"/>
    </xf>
    <xf numFmtId="170" fontId="8" fillId="30" borderId="14" xfId="0" applyNumberFormat="1" applyFont="1" applyFill="1" applyBorder="1" applyAlignment="1">
      <alignment horizontal="center" vertical="center" wrapText="1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239"/>
    <cellStyle name="Обычный 2 10" xfId="240"/>
    <cellStyle name="Обычный 2 11" xfId="241"/>
    <cellStyle name="Обычный 2 12" xfId="242"/>
    <cellStyle name="Обычный 2 13" xfId="243"/>
    <cellStyle name="Обычный 2 14" xfId="244"/>
    <cellStyle name="Обычный 2 15" xfId="245"/>
    <cellStyle name="Обычный 2 16" xfId="246"/>
    <cellStyle name="Обычный 2 2" xfId="247"/>
    <cellStyle name="Обычный 2 2 2" xfId="248"/>
    <cellStyle name="Обычный 2 2 3" xfId="249"/>
    <cellStyle name="Обычный 2 2_Расшифровка прочих" xfId="250"/>
    <cellStyle name="Обычный 2 3" xfId="251"/>
    <cellStyle name="Обычный 2 4" xfId="252"/>
    <cellStyle name="Обычный 2 5" xfId="253"/>
    <cellStyle name="Обычный 2 6" xfId="254"/>
    <cellStyle name="Обычный 2 7" xfId="255"/>
    <cellStyle name="Обычный 2 8" xfId="256"/>
    <cellStyle name="Обычный 2 9" xfId="257"/>
    <cellStyle name="Обычный 2_2604-2010" xfId="258"/>
    <cellStyle name="Обычный 3" xfId="259"/>
    <cellStyle name="Обычный 3 10" xfId="260"/>
    <cellStyle name="Обычный 3 11" xfId="261"/>
    <cellStyle name="Обычный 3 12" xfId="262"/>
    <cellStyle name="Обычный 3 13" xfId="263"/>
    <cellStyle name="Обычный 3 14" xfId="264"/>
    <cellStyle name="Обычный 3 2" xfId="265"/>
    <cellStyle name="Обычный 3 3" xfId="266"/>
    <cellStyle name="Обычный 3 4" xfId="267"/>
    <cellStyle name="Обычный 3 5" xfId="268"/>
    <cellStyle name="Обычный 3 6" xfId="269"/>
    <cellStyle name="Обычный 3 7" xfId="270"/>
    <cellStyle name="Обычный 3 8" xfId="271"/>
    <cellStyle name="Обычный 3 9" xfId="272"/>
    <cellStyle name="Обычный 3_Дефицит_7 млрд_0608_бс" xfId="273"/>
    <cellStyle name="Обычный 4" xfId="274"/>
    <cellStyle name="Обычный 5" xfId="275"/>
    <cellStyle name="Обычный 5 2" xfId="276"/>
    <cellStyle name="Обычный 6" xfId="277"/>
    <cellStyle name="Обычный 6 2" xfId="278"/>
    <cellStyle name="Обычный 6 3" xfId="279"/>
    <cellStyle name="Обычный 6 4" xfId="280"/>
    <cellStyle name="Обычный 6_Дефицит_7 млрд_0608_бс" xfId="281"/>
    <cellStyle name="Обычный 7" xfId="282"/>
    <cellStyle name="Обычный 7 2" xfId="283"/>
    <cellStyle name="Обычный 8" xfId="284"/>
    <cellStyle name="Обычный 9" xfId="285"/>
    <cellStyle name="Обычный 9 2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3" xfId="292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 2" xfId="325"/>
    <cellStyle name="Финансовый 2 10" xfId="326"/>
    <cellStyle name="Финансовый 2 11" xfId="327"/>
    <cellStyle name="Финансовый 2 12" xfId="328"/>
    <cellStyle name="Финансовый 2 13" xfId="329"/>
    <cellStyle name="Финансовый 2 14" xfId="330"/>
    <cellStyle name="Финансовый 2 15" xfId="331"/>
    <cellStyle name="Финансовый 2 16" xfId="332"/>
    <cellStyle name="Финансовый 2 17" xfId="333"/>
    <cellStyle name="Финансовый 2 2" xfId="334"/>
    <cellStyle name="Финансовый 2 3" xfId="335"/>
    <cellStyle name="Финансовый 2 4" xfId="336"/>
    <cellStyle name="Финансовый 2 5" xfId="337"/>
    <cellStyle name="Финансовый 2 6" xfId="338"/>
    <cellStyle name="Финансовый 2 7" xfId="339"/>
    <cellStyle name="Финансовый 2 8" xfId="340"/>
    <cellStyle name="Финансовый 2 9" xfId="341"/>
    <cellStyle name="Финансовый 3" xfId="342"/>
    <cellStyle name="Финансовый 3 2" xfId="343"/>
    <cellStyle name="Финансовый 4" xfId="344"/>
    <cellStyle name="Финансовый 4 2" xfId="345"/>
    <cellStyle name="Финансовый 4 3" xfId="346"/>
    <cellStyle name="Финансовый 5" xfId="347"/>
    <cellStyle name="Финансовый 6" xfId="348"/>
    <cellStyle name="Финансовый 7" xfId="349"/>
    <cellStyle name="Хороший 2" xfId="350"/>
    <cellStyle name="Хороший 3" xfId="351"/>
    <cellStyle name="числовой" xfId="352"/>
    <cellStyle name="Ю" xfId="353"/>
    <cellStyle name="Ю-FreeSet_10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Структура фактичних витрат основної діяльності за 2020рік, тис.грн.%</a:t>
            </a:r>
            <a:endParaRPr lang="uk-UA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62062357886498E-2"/>
          <c:y val="0.28385187350421104"/>
          <c:w val="0.7599165515219154"/>
          <c:h val="0.65639086297507476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uk-UA"/>
                      <a:t>Собівартість реалізованої продукції (товарів, робіт, послуг); 21561тис.грн.; 84%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4391104196432412E-2"/>
                  <c:y val="0.2368413809062730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Адміністративні витрати; </a:t>
                    </a:r>
                  </a:p>
                  <a:p>
                    <a:r>
                      <a:rPr lang="uk-UA"/>
                      <a:t>3074тис.грн.; 12%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6872911652816558"/>
                  <c:y val="2.824998226573029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Витрати на збут; 909 тис.грн.; 3,6%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29906418354414177"/>
                  <c:y val="0.16008014079446567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Інші операційні витрати; 65тис.грн.; 0,3%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3750440256664575"/>
                  <c:y val="1.217729005593757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Витрати зподатку на прибуток; 13тис.грн.; 0,1%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Лист1!$A$9:$A$13</c:f>
              <c:strCache>
                <c:ptCount val="5"/>
                <c:pt idx="0">
                  <c:v>Собівартість реалізованої продукції (товарів, робіт, послуг)</c:v>
                </c:pt>
                <c:pt idx="1">
                  <c:v>Адміністративні витрати</c:v>
                </c:pt>
                <c:pt idx="2">
                  <c:v>Витрати на збут</c:v>
                </c:pt>
                <c:pt idx="3">
                  <c:v>Інші операційні витрати</c:v>
                </c:pt>
                <c:pt idx="4">
                  <c:v>Витрати зподатку на прибуток</c:v>
                </c:pt>
              </c:strCache>
            </c:strRef>
          </c:cat>
          <c:val>
            <c:numRef>
              <c:f>Лист1!$B$9:$B$13</c:f>
              <c:numCache>
                <c:formatCode>General</c:formatCode>
                <c:ptCount val="5"/>
                <c:pt idx="0">
                  <c:v>21561</c:v>
                </c:pt>
                <c:pt idx="1">
                  <c:v>3074</c:v>
                </c:pt>
                <c:pt idx="2">
                  <c:v>909</c:v>
                </c:pt>
                <c:pt idx="3">
                  <c:v>65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baseline="0"/>
              <a:t>Елементи операційних витрат за 2020рік, тис.грн.%</a:t>
            </a:r>
          </a:p>
          <a:p>
            <a:pPr>
              <a:defRPr/>
            </a:pPr>
            <a:endParaRPr lang="uk-UA"/>
          </a:p>
        </c:rich>
      </c:tx>
      <c:layout>
        <c:manualLayout>
          <c:xMode val="edge"/>
          <c:yMode val="edge"/>
          <c:x val="0.12219046310027713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uk-UA" b="1" i="1"/>
                      <a:t>Витрати на оплату праці; 11702тис.грн.; 45,7%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2346127554113501E-2"/>
                  <c:y val="9.4536594810894534E-2"/>
                </c:manualLayout>
              </c:layout>
              <c:tx>
                <c:rich>
                  <a:bodyPr/>
                  <a:lstStyle/>
                  <a:p>
                    <a:r>
                      <a:rPr lang="uk-UA" b="1" i="1"/>
                      <a:t>Відрахування на соціальні заходи; </a:t>
                    </a:r>
                  </a:p>
                  <a:p>
                    <a:r>
                      <a:rPr lang="uk-UA" b="1" i="1"/>
                      <a:t>2438тис.грн.; 9,5%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4891735508946862E-2"/>
                  <c:y val="-1.0789122671141517E-2"/>
                </c:manualLayout>
              </c:layout>
              <c:tx>
                <c:rich>
                  <a:bodyPr/>
                  <a:lstStyle/>
                  <a:p>
                    <a:r>
                      <a:rPr lang="uk-UA" b="1" i="1"/>
                      <a:t>Матеріальні витрати; 9232 тис.грн.; 36,1%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uk-UA" b="1" i="1"/>
                      <a:t>Амортизація; 260тис.грн.; 1%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6658105237762574"/>
                  <c:y val="-3.8656469170861837E-2"/>
                </c:manualLayout>
              </c:layout>
              <c:tx>
                <c:rich>
                  <a:bodyPr/>
                  <a:lstStyle/>
                  <a:p>
                    <a:r>
                      <a:rPr lang="uk-UA" b="1" i="1"/>
                      <a:t>Інші операційні витрати; 1977тис.грн.; 7,7%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Лист1!$A$39:$A$43</c:f>
              <c:strCache>
                <c:ptCount val="5"/>
                <c:pt idx="0">
                  <c:v>Витрати на оплату праці</c:v>
                </c:pt>
                <c:pt idx="1">
                  <c:v>Відрахування на соціальні заходи</c:v>
                </c:pt>
                <c:pt idx="2">
                  <c:v>Матеріальні витрати</c:v>
                </c:pt>
                <c:pt idx="3">
                  <c:v>Амортизація</c:v>
                </c:pt>
                <c:pt idx="4">
                  <c:v>Інші операційні витрати</c:v>
                </c:pt>
              </c:strCache>
            </c:strRef>
          </c:cat>
          <c:val>
            <c:numRef>
              <c:f>Лист1!$B$39:$B$43</c:f>
              <c:numCache>
                <c:formatCode>General</c:formatCode>
                <c:ptCount val="5"/>
                <c:pt idx="0">
                  <c:v>11702</c:v>
                </c:pt>
                <c:pt idx="1">
                  <c:v>2438</c:v>
                </c:pt>
                <c:pt idx="2">
                  <c:v>9232</c:v>
                </c:pt>
                <c:pt idx="3">
                  <c:v>260</c:v>
                </c:pt>
                <c:pt idx="4">
                  <c:v>1977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u="none" strike="noStrike" baseline="0">
                <a:effectLst/>
              </a:rPr>
              <a:t>Дохід від реалізації продукції (товарів, робіт, послуг) за 2020 рік </a:t>
            </a:r>
            <a:endParaRPr lang="uk-UA"/>
          </a:p>
        </c:rich>
      </c:tx>
      <c:layout>
        <c:manualLayout>
          <c:xMode val="edge"/>
          <c:yMode val="edge"/>
          <c:x val="0.194090571640683"/>
          <c:y val="1.388888888888888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8305810731991837"/>
          <c:w val="0.90833333333333333"/>
          <c:h val="0.6188374890638670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Лист1!$A$75:$A$76</c:f>
              <c:strCache>
                <c:ptCount val="2"/>
                <c:pt idx="0">
                  <c:v>від комерційної діяльності </c:v>
                </c:pt>
                <c:pt idx="1">
                  <c:v>від місцевого бюджету                </c:v>
                </c:pt>
              </c:strCache>
            </c:strRef>
          </c:cat>
          <c:val>
            <c:numRef>
              <c:f>Лист1!$B$75:$B$76</c:f>
              <c:numCache>
                <c:formatCode>General</c:formatCode>
                <c:ptCount val="2"/>
                <c:pt idx="0">
                  <c:v>19444.3</c:v>
                </c:pt>
                <c:pt idx="1">
                  <c:v>6650.7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15</xdr:row>
      <xdr:rowOff>180974</xdr:rowOff>
    </xdr:from>
    <xdr:to>
      <xdr:col>13</xdr:col>
      <xdr:colOff>238125</xdr:colOff>
      <xdr:row>37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44</xdr:row>
      <xdr:rowOff>9525</xdr:rowOff>
    </xdr:from>
    <xdr:to>
      <xdr:col>13</xdr:col>
      <xdr:colOff>561975</xdr:colOff>
      <xdr:row>68</xdr:row>
      <xdr:rowOff>85725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1114424</xdr:colOff>
      <xdr:row>77</xdr:row>
      <xdr:rowOff>76200</xdr:rowOff>
    </xdr:from>
    <xdr:to>
      <xdr:col>10</xdr:col>
      <xdr:colOff>400050</xdr:colOff>
      <xdr:row>98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47;&#1074;&#1110;&#1090;%20&#1087;&#1088;&#1086;%20&#1074;&#1080;&#1082;.%20&#1092;&#1110;&#1085;.&#1087;&#1083;&#1072;&#1085;&#1091;%20&#1079;&#1072;%20%202018&#1088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Фінансовий результат"/>
      <sheetName val="2. Розрахунки з бюджетом"/>
      <sheetName val="3. Рух грошових коштів"/>
      <sheetName val="4. Кап. інвестиції"/>
      <sheetName val="5. Інша інформація"/>
      <sheetName val=" 6. Коефіцієнти"/>
    </sheetNames>
    <sheetDataSet>
      <sheetData sheetId="0" refreshError="1"/>
      <sheetData sheetId="1" refreshError="1">
        <row r="14">
          <cell r="B14">
            <v>1040</v>
          </cell>
        </row>
        <row r="15">
          <cell r="B15">
            <v>1050</v>
          </cell>
        </row>
        <row r="30">
          <cell r="B30">
            <v>1060</v>
          </cell>
        </row>
        <row r="31">
          <cell r="B31">
            <v>1070</v>
          </cell>
        </row>
        <row r="32">
          <cell r="B32">
            <v>1080</v>
          </cell>
        </row>
        <row r="62">
          <cell r="B62">
            <v>1110</v>
          </cell>
        </row>
        <row r="79">
          <cell r="B79">
            <v>1120</v>
          </cell>
        </row>
        <row r="87">
          <cell r="B87">
            <v>1130</v>
          </cell>
        </row>
        <row r="88">
          <cell r="B88">
            <v>1140</v>
          </cell>
        </row>
        <row r="89">
          <cell r="B89">
            <v>1150</v>
          </cell>
        </row>
        <row r="90">
          <cell r="B90">
            <v>1160</v>
          </cell>
        </row>
        <row r="91">
          <cell r="B91">
            <v>1170</v>
          </cell>
        </row>
        <row r="92">
          <cell r="B92">
            <v>1200</v>
          </cell>
        </row>
        <row r="93">
          <cell r="B93">
            <v>1210</v>
          </cell>
        </row>
        <row r="95">
          <cell r="B95">
            <v>1230</v>
          </cell>
        </row>
      </sheetData>
      <sheetData sheetId="2" refreshError="1">
        <row r="19">
          <cell r="B19">
            <v>2100</v>
          </cell>
        </row>
        <row r="20">
          <cell r="B20">
            <v>2110</v>
          </cell>
        </row>
        <row r="21">
          <cell r="B21">
            <v>2120</v>
          </cell>
        </row>
        <row r="22">
          <cell r="B22">
            <v>2130</v>
          </cell>
        </row>
        <row r="23">
          <cell r="B23">
            <v>2140</v>
          </cell>
        </row>
        <row r="38">
          <cell r="B38">
            <v>2150</v>
          </cell>
        </row>
        <row r="39">
          <cell r="B39">
            <v>2200</v>
          </cell>
        </row>
      </sheetData>
      <sheetData sheetId="3" refreshError="1">
        <row r="27">
          <cell r="B27">
            <v>3090</v>
          </cell>
        </row>
        <row r="44">
          <cell r="B44">
            <v>3320</v>
          </cell>
        </row>
        <row r="70">
          <cell r="B70">
            <v>3580</v>
          </cell>
        </row>
        <row r="72">
          <cell r="B72">
            <v>3600</v>
          </cell>
        </row>
        <row r="73">
          <cell r="B73">
            <v>3610</v>
          </cell>
        </row>
        <row r="74">
          <cell r="B74">
            <v>3620</v>
          </cell>
        </row>
      </sheetData>
      <sheetData sheetId="4" refreshError="1">
        <row r="7">
          <cell r="B7">
            <v>4000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8"/>
  <sheetViews>
    <sheetView view="pageBreakPreview" topLeftCell="A3" zoomScale="60" workbookViewId="0">
      <selection activeCell="F18" sqref="F18"/>
    </sheetView>
  </sheetViews>
  <sheetFormatPr defaultRowHeight="18.75" outlineLevelRow="1"/>
  <cols>
    <col min="1" max="1" width="58.140625" style="93" customWidth="1"/>
    <col min="2" max="2" width="9.140625" style="11"/>
    <col min="3" max="3" width="12" style="93" customWidth="1"/>
    <col min="4" max="4" width="11.7109375" style="93" customWidth="1"/>
    <col min="5" max="5" width="13.85546875" style="93" customWidth="1"/>
    <col min="6" max="6" width="15.28515625" style="93" customWidth="1"/>
  </cols>
  <sheetData>
    <row r="1" spans="1:6" hidden="1" outlineLevel="1">
      <c r="B1" s="93"/>
    </row>
    <row r="2" spans="1:6" hidden="1" outlineLevel="1">
      <c r="B2" s="93"/>
    </row>
    <row r="3" spans="1:6" ht="9.75" customHeight="1" collapsed="1">
      <c r="B3" s="93"/>
    </row>
    <row r="4" spans="1:6">
      <c r="A4" s="359" t="s">
        <v>327</v>
      </c>
      <c r="B4" s="359"/>
      <c r="C4" s="359"/>
      <c r="D4" s="359"/>
      <c r="E4" s="359"/>
      <c r="F4" s="359"/>
    </row>
    <row r="5" spans="1:6">
      <c r="A5" s="359" t="s">
        <v>414</v>
      </c>
      <c r="B5" s="359"/>
      <c r="C5" s="359"/>
      <c r="D5" s="359"/>
      <c r="E5" s="359"/>
      <c r="F5" s="359"/>
    </row>
    <row r="6" spans="1:6">
      <c r="A6" s="359" t="s">
        <v>328</v>
      </c>
      <c r="B6" s="359"/>
      <c r="C6" s="359"/>
      <c r="D6" s="359"/>
      <c r="E6" s="359"/>
      <c r="F6" s="359"/>
    </row>
    <row r="7" spans="1:6">
      <c r="A7" s="359" t="s">
        <v>437</v>
      </c>
      <c r="B7" s="359"/>
      <c r="C7" s="359"/>
      <c r="D7" s="359"/>
      <c r="E7" s="359"/>
      <c r="F7" s="359"/>
    </row>
    <row r="8" spans="1:6" ht="7.5" customHeight="1">
      <c r="A8" s="87"/>
      <c r="B8" s="87"/>
      <c r="C8" s="87"/>
      <c r="D8" s="87"/>
      <c r="E8" s="87"/>
      <c r="F8" s="87"/>
    </row>
    <row r="9" spans="1:6">
      <c r="A9" s="359" t="s">
        <v>145</v>
      </c>
      <c r="B9" s="359"/>
      <c r="C9" s="359"/>
      <c r="D9" s="359"/>
      <c r="E9" s="359"/>
      <c r="F9" s="359"/>
    </row>
    <row r="10" spans="1:6" ht="9" customHeight="1">
      <c r="B10" s="13"/>
      <c r="C10" s="13"/>
      <c r="D10" s="13"/>
      <c r="E10" s="13"/>
      <c r="F10" s="13"/>
    </row>
    <row r="11" spans="1:6">
      <c r="A11" s="354" t="s">
        <v>169</v>
      </c>
      <c r="B11" s="355" t="s">
        <v>5</v>
      </c>
      <c r="C11" s="357" t="s">
        <v>307</v>
      </c>
      <c r="D11" s="358"/>
      <c r="E11" s="358"/>
      <c r="F11" s="358"/>
    </row>
    <row r="12" spans="1:6" ht="37.5">
      <c r="A12" s="354"/>
      <c r="B12" s="356"/>
      <c r="C12" s="99" t="s">
        <v>305</v>
      </c>
      <c r="D12" s="99" t="s">
        <v>308</v>
      </c>
      <c r="E12" s="99" t="s">
        <v>309</v>
      </c>
      <c r="F12" s="99" t="s">
        <v>311</v>
      </c>
    </row>
    <row r="13" spans="1:6">
      <c r="A13" s="84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</row>
    <row r="14" spans="1:6">
      <c r="A14" s="362" t="s">
        <v>72</v>
      </c>
      <c r="B14" s="362"/>
      <c r="C14" s="362"/>
      <c r="D14" s="362"/>
      <c r="E14" s="362"/>
      <c r="F14" s="362"/>
    </row>
    <row r="15" spans="1:6" ht="37.5">
      <c r="A15" s="144" t="s">
        <v>146</v>
      </c>
      <c r="B15" s="84">
        <f>'[36]1.Фінансовий результат'!B14</f>
        <v>1040</v>
      </c>
      <c r="C15" s="94">
        <f>'1.Фінансовий результат'!C13</f>
        <v>21846.399999999998</v>
      </c>
      <c r="D15" s="94">
        <f>'1.Фінансовий результат'!D13</f>
        <v>25679</v>
      </c>
      <c r="E15" s="94">
        <f>D15-C15</f>
        <v>3832.6000000000022</v>
      </c>
      <c r="F15" s="94">
        <f>D15/C15*100</f>
        <v>117.5433938772521</v>
      </c>
    </row>
    <row r="16" spans="1:6" ht="37.5">
      <c r="A16" s="144" t="s">
        <v>123</v>
      </c>
      <c r="B16" s="84">
        <f>'[36]1.Фінансовий результат'!B15</f>
        <v>1050</v>
      </c>
      <c r="C16" s="94">
        <f>'1.Фінансовий результат'!C14</f>
        <v>16280.599999999999</v>
      </c>
      <c r="D16" s="94">
        <f>'1.Фінансовий результат'!D14</f>
        <v>21560.799999999999</v>
      </c>
      <c r="E16" s="94">
        <f>D16-C16</f>
        <v>5280.2000000000007</v>
      </c>
      <c r="F16" s="94">
        <f>D16/C16*100</f>
        <v>132.4324656339447</v>
      </c>
    </row>
    <row r="17" spans="1:6">
      <c r="A17" s="145" t="s">
        <v>179</v>
      </c>
      <c r="B17" s="146">
        <f>'[36]1.Фінансовий результат'!B30</f>
        <v>1060</v>
      </c>
      <c r="C17" s="39">
        <f>'1.Фінансовий результат'!C29</f>
        <v>5565.7999999999993</v>
      </c>
      <c r="D17" s="39">
        <f>'1.Фінансовий результат'!D29</f>
        <v>4118.2000000000007</v>
      </c>
      <c r="E17" s="39">
        <f t="shared" ref="E17:E21" si="0">D17-C17</f>
        <v>-1447.5999999999985</v>
      </c>
      <c r="F17" s="39">
        <f t="shared" ref="F17:F21" si="1">D17/C17*100</f>
        <v>73.991160300406079</v>
      </c>
    </row>
    <row r="18" spans="1:6">
      <c r="A18" s="144" t="s">
        <v>211</v>
      </c>
      <c r="B18" s="84">
        <f>'[36]1.Фінансовий результат'!B31</f>
        <v>1070</v>
      </c>
      <c r="C18" s="94">
        <f>'1.Фінансовий результат'!C30</f>
        <v>0</v>
      </c>
      <c r="D18" s="94">
        <f>'1.Фінансовий результат'!D30</f>
        <v>0</v>
      </c>
      <c r="E18" s="94">
        <f t="shared" si="0"/>
        <v>0</v>
      </c>
      <c r="F18" s="263" t="e">
        <f t="shared" si="1"/>
        <v>#DIV/0!</v>
      </c>
    </row>
    <row r="19" spans="1:6">
      <c r="A19" s="144" t="s">
        <v>102</v>
      </c>
      <c r="B19" s="84">
        <f>'[36]1.Фінансовий результат'!B32</f>
        <v>1080</v>
      </c>
      <c r="C19" s="94">
        <f>'1.Фінансовий результат'!C31</f>
        <v>4420</v>
      </c>
      <c r="D19" s="94">
        <f>'1.Фінансовий результат'!D31</f>
        <v>3074.2</v>
      </c>
      <c r="E19" s="94">
        <f t="shared" si="0"/>
        <v>-1345.8000000000002</v>
      </c>
      <c r="F19" s="94">
        <f t="shared" si="1"/>
        <v>69.552036199095014</v>
      </c>
    </row>
    <row r="20" spans="1:6">
      <c r="A20" s="144" t="s">
        <v>99</v>
      </c>
      <c r="B20" s="84">
        <f>'[36]1.Фінансовий результат'!B62</f>
        <v>1110</v>
      </c>
      <c r="C20" s="94">
        <f>'1.Фінансовий результат'!C63</f>
        <v>1040</v>
      </c>
      <c r="D20" s="94">
        <f>'1.Фінансовий результат'!D63</f>
        <v>909.3</v>
      </c>
      <c r="E20" s="94">
        <f t="shared" si="0"/>
        <v>-130.70000000000005</v>
      </c>
      <c r="F20" s="94">
        <f t="shared" si="1"/>
        <v>87.432692307692307</v>
      </c>
    </row>
    <row r="21" spans="1:6">
      <c r="A21" s="144" t="s">
        <v>12</v>
      </c>
      <c r="B21" s="84">
        <f>'[36]1.Фінансовий результат'!B79</f>
        <v>1120</v>
      </c>
      <c r="C21" s="94">
        <f>'1.Фінансовий результат'!C80</f>
        <v>77.800000000000011</v>
      </c>
      <c r="D21" s="94">
        <f>'1.Фінансовий результат'!D80</f>
        <v>64.899999999999991</v>
      </c>
      <c r="E21" s="94">
        <f t="shared" si="0"/>
        <v>-12.90000000000002</v>
      </c>
      <c r="F21" s="94">
        <f t="shared" si="1"/>
        <v>83.419023136246764</v>
      </c>
    </row>
    <row r="22" spans="1:6" ht="37.5">
      <c r="A22" s="66" t="s">
        <v>214</v>
      </c>
      <c r="B22" s="147">
        <f>'[36]1.Фінансовий результат'!B87</f>
        <v>1130</v>
      </c>
      <c r="C22" s="65">
        <f>'1.Фінансовий результат'!C91</f>
        <v>27.999999999999261</v>
      </c>
      <c r="D22" s="65">
        <f>'1.Фінансовий результат'!D91</f>
        <v>69.800000000000963</v>
      </c>
      <c r="E22" s="65">
        <f t="shared" ref="E22:E29" si="2">D22-C22</f>
        <v>41.800000000001702</v>
      </c>
      <c r="F22" s="65">
        <f t="shared" ref="F22:F29" si="3">D22/C22*100</f>
        <v>249.28571428572434</v>
      </c>
    </row>
    <row r="23" spans="1:6">
      <c r="A23" s="148" t="s">
        <v>219</v>
      </c>
      <c r="B23" s="84">
        <f>'[36]1.Фінансовий результат'!B88</f>
        <v>1140</v>
      </c>
      <c r="C23" s="263">
        <f>'1.Фінансовий результат'!C92</f>
        <v>0</v>
      </c>
      <c r="D23" s="263">
        <f>'1.Фінансовий результат'!D92</f>
        <v>0</v>
      </c>
      <c r="E23" s="263">
        <f t="shared" si="2"/>
        <v>0</v>
      </c>
      <c r="F23" s="263" t="e">
        <f t="shared" si="3"/>
        <v>#DIV/0!</v>
      </c>
    </row>
    <row r="24" spans="1:6">
      <c r="A24" s="148" t="s">
        <v>329</v>
      </c>
      <c r="B24" s="84">
        <f>'[36]1.Фінансовий результат'!B89</f>
        <v>1150</v>
      </c>
      <c r="C24" s="263">
        <f>'1.Фінансовий результат'!C93</f>
        <v>0</v>
      </c>
      <c r="D24" s="263">
        <f>'1.Фінансовий результат'!D93</f>
        <v>0</v>
      </c>
      <c r="E24" s="263">
        <f t="shared" si="2"/>
        <v>0</v>
      </c>
      <c r="F24" s="263"/>
    </row>
    <row r="25" spans="1:6">
      <c r="A25" s="144" t="s">
        <v>212</v>
      </c>
      <c r="B25" s="84">
        <f>'[36]1.Фінансовий результат'!B90</f>
        <v>1160</v>
      </c>
      <c r="C25" s="263">
        <f>'1.Фінансовий результат'!C94</f>
        <v>0</v>
      </c>
      <c r="D25" s="263">
        <f>'1.Фінансовий результат'!D94</f>
        <v>0</v>
      </c>
      <c r="E25" s="263">
        <f t="shared" si="2"/>
        <v>0</v>
      </c>
      <c r="F25" s="263"/>
    </row>
    <row r="26" spans="1:6">
      <c r="A26" s="144" t="s">
        <v>213</v>
      </c>
      <c r="B26" s="84">
        <f>'[36]1.Фінансовий результат'!B91</f>
        <v>1170</v>
      </c>
      <c r="C26" s="263">
        <f>'1.Фінансовий результат'!C95</f>
        <v>0</v>
      </c>
      <c r="D26" s="263">
        <f>'1.Фінансовий результат'!D95</f>
        <v>0</v>
      </c>
      <c r="E26" s="263">
        <f t="shared" si="2"/>
        <v>0</v>
      </c>
      <c r="F26" s="263"/>
    </row>
    <row r="27" spans="1:6" ht="37.5">
      <c r="A27" s="67" t="s">
        <v>216</v>
      </c>
      <c r="B27" s="146">
        <f>'[36]1.Фінансовий результат'!B92</f>
        <v>1200</v>
      </c>
      <c r="C27" s="39">
        <f>'1.Фінансовий результат'!C96</f>
        <v>27.999999999999261</v>
      </c>
      <c r="D27" s="39">
        <f>'1.Фінансовий результат'!D96</f>
        <v>69.800000000000963</v>
      </c>
      <c r="E27" s="39">
        <f t="shared" si="2"/>
        <v>41.800000000001702</v>
      </c>
      <c r="F27" s="39">
        <f t="shared" si="3"/>
        <v>249.28571428572434</v>
      </c>
    </row>
    <row r="28" spans="1:6">
      <c r="A28" s="149" t="s">
        <v>100</v>
      </c>
      <c r="B28" s="84">
        <f>'[36]1.Фінансовий результат'!B93</f>
        <v>1210</v>
      </c>
      <c r="C28" s="94">
        <f>'1.Фінансовий результат'!C97</f>
        <v>5</v>
      </c>
      <c r="D28" s="94">
        <f>'1.Фінансовий результат'!D97</f>
        <v>12.564000000000172</v>
      </c>
      <c r="E28" s="94">
        <f t="shared" si="2"/>
        <v>7.5640000000001724</v>
      </c>
      <c r="F28" s="94">
        <f t="shared" si="3"/>
        <v>251.28000000000347</v>
      </c>
    </row>
    <row r="29" spans="1:6" ht="37.5">
      <c r="A29" s="66" t="s">
        <v>217</v>
      </c>
      <c r="B29" s="147">
        <f>'[36]1.Фінансовий результат'!B95</f>
        <v>1230</v>
      </c>
      <c r="C29" s="65">
        <f>'1.Фінансовий результат'!C99</f>
        <v>22.999999999999261</v>
      </c>
      <c r="D29" s="65">
        <f>'1.Фінансовий результат'!D99</f>
        <v>57.236000000000793</v>
      </c>
      <c r="E29" s="65">
        <f t="shared" si="2"/>
        <v>34.236000000001532</v>
      </c>
      <c r="F29" s="65">
        <f t="shared" si="3"/>
        <v>248.85217391305491</v>
      </c>
    </row>
    <row r="30" spans="1:6">
      <c r="A30" s="363" t="s">
        <v>110</v>
      </c>
      <c r="B30" s="363"/>
      <c r="C30" s="363"/>
      <c r="D30" s="363"/>
      <c r="E30" s="363"/>
      <c r="F30" s="363"/>
    </row>
    <row r="31" spans="1:6" ht="37.5">
      <c r="A31" s="150" t="s">
        <v>170</v>
      </c>
      <c r="B31" s="84">
        <f>'[36]2. Розрахунки з бюджетом'!B19</f>
        <v>2100</v>
      </c>
      <c r="C31" s="94">
        <f>'2.Розрахунки з бюджетом'!C18</f>
        <v>3.4425000000000026</v>
      </c>
      <c r="D31" s="94">
        <f>'2.Розрахунки з бюджетом'!D18</f>
        <v>8.5854000000001189</v>
      </c>
      <c r="E31" s="94">
        <f t="shared" ref="E31:E37" si="4">D31-C31</f>
        <v>5.1429000000001164</v>
      </c>
      <c r="F31" s="94">
        <f t="shared" ref="F31:F37" si="5">D31/C31*100</f>
        <v>249.39433551198582</v>
      </c>
    </row>
    <row r="32" spans="1:6">
      <c r="A32" s="19" t="s">
        <v>109</v>
      </c>
      <c r="B32" s="84">
        <f>'[36]2. Розрахунки з бюджетом'!B20</f>
        <v>2110</v>
      </c>
      <c r="C32" s="94">
        <f>'2.Розрахунки з бюджетом'!C19</f>
        <v>5</v>
      </c>
      <c r="D32" s="94">
        <f>'2.Розрахунки з бюджетом'!D19</f>
        <v>12.564000000000172</v>
      </c>
      <c r="E32" s="94">
        <f t="shared" si="4"/>
        <v>7.5640000000001724</v>
      </c>
      <c r="F32" s="94">
        <f t="shared" si="5"/>
        <v>251.28000000000347</v>
      </c>
    </row>
    <row r="33" spans="1:6" ht="56.25">
      <c r="A33" s="19" t="s">
        <v>197</v>
      </c>
      <c r="B33" s="84">
        <f>'[36]2. Розрахунки з бюджетом'!B21</f>
        <v>2120</v>
      </c>
      <c r="C33" s="94">
        <f>'2.Розрахунки з бюджетом'!C20</f>
        <v>138.57479999999998</v>
      </c>
      <c r="D33" s="251">
        <f>'2.Розрахунки з бюджетом'!D20</f>
        <v>156</v>
      </c>
      <c r="E33" s="94">
        <f t="shared" si="4"/>
        <v>17.425200000000018</v>
      </c>
      <c r="F33" s="94">
        <f t="shared" si="5"/>
        <v>112.57458065968706</v>
      </c>
    </row>
    <row r="34" spans="1:6" ht="56.25">
      <c r="A34" s="19" t="s">
        <v>198</v>
      </c>
      <c r="B34" s="84">
        <f>'[36]2. Розрахунки з бюджетом'!B22</f>
        <v>2130</v>
      </c>
      <c r="C34" s="263">
        <f>'2.Розрахунки з бюджетом'!C21</f>
        <v>0</v>
      </c>
      <c r="D34" s="263">
        <f>'2.Розрахунки з бюджетом'!D21</f>
        <v>0</v>
      </c>
      <c r="E34" s="263">
        <f t="shared" si="4"/>
        <v>0</v>
      </c>
      <c r="F34" s="263"/>
    </row>
    <row r="35" spans="1:6" ht="41.25" customHeight="1">
      <c r="A35" s="150" t="s">
        <v>163</v>
      </c>
      <c r="B35" s="84">
        <f>'[36]2. Розрахунки з бюджетом'!B23</f>
        <v>2140</v>
      </c>
      <c r="C35" s="94">
        <f>'2.Розрахунки з бюджетом'!C22</f>
        <v>2262.4100000000003</v>
      </c>
      <c r="D35" s="94">
        <f>'2.Розрахунки з бюджетом'!D22</f>
        <v>2355.3900000000003</v>
      </c>
      <c r="E35" s="94">
        <f t="shared" si="4"/>
        <v>92.980000000000018</v>
      </c>
      <c r="F35" s="94">
        <f t="shared" si="5"/>
        <v>104.10977674250026</v>
      </c>
    </row>
    <row r="36" spans="1:6" ht="37.5">
      <c r="A36" s="150" t="s">
        <v>61</v>
      </c>
      <c r="B36" s="84">
        <f>'[36]2. Розрахунки з бюджетом'!B38</f>
        <v>2150</v>
      </c>
      <c r="C36" s="94">
        <f>'2.Розрахунки з бюджетом'!C38</f>
        <v>2461.6000000000004</v>
      </c>
      <c r="D36" s="94">
        <f>'2.Розрахунки з бюджетом'!D38</f>
        <v>2438</v>
      </c>
      <c r="E36" s="94">
        <f t="shared" si="4"/>
        <v>-23.600000000000364</v>
      </c>
      <c r="F36" s="94">
        <f t="shared" si="5"/>
        <v>99.041273968150776</v>
      </c>
    </row>
    <row r="37" spans="1:6">
      <c r="A37" s="68" t="s">
        <v>171</v>
      </c>
      <c r="B37" s="84">
        <f>'[36]2. Розрахунки з бюджетом'!B39</f>
        <v>2200</v>
      </c>
      <c r="C37" s="39">
        <f>'2.Розрахунки з бюджетом'!C39</f>
        <v>4871.0273000000007</v>
      </c>
      <c r="D37" s="39">
        <f>'2.Розрахунки з бюджетом'!D39</f>
        <v>4970.5394000000006</v>
      </c>
      <c r="E37" s="39">
        <f t="shared" si="4"/>
        <v>99.512099999999919</v>
      </c>
      <c r="F37" s="39">
        <f t="shared" si="5"/>
        <v>102.04293866306189</v>
      </c>
    </row>
    <row r="38" spans="1:6">
      <c r="A38" s="363" t="s">
        <v>108</v>
      </c>
      <c r="B38" s="363"/>
      <c r="C38" s="363"/>
      <c r="D38" s="363"/>
      <c r="E38" s="363"/>
      <c r="F38" s="363"/>
    </row>
    <row r="39" spans="1:6">
      <c r="A39" s="68" t="s">
        <v>103</v>
      </c>
      <c r="B39" s="146">
        <f>'[36]3. Рух грошових коштів'!B72</f>
        <v>3600</v>
      </c>
      <c r="C39" s="39">
        <f>'3.Рух грошових коштів'!C75</f>
        <v>475.50069187272231</v>
      </c>
      <c r="D39" s="39">
        <f>'3.Рух грошових коштів'!D75</f>
        <v>648</v>
      </c>
      <c r="E39" s="39">
        <f t="shared" ref="E39:E44" si="6">D39-C39</f>
        <v>172.49930812727769</v>
      </c>
      <c r="F39" s="39">
        <f t="shared" ref="F39:F44" si="7">D39/C39*100</f>
        <v>136.27740423424046</v>
      </c>
    </row>
    <row r="40" spans="1:6" ht="37.5">
      <c r="A40" s="150" t="s">
        <v>104</v>
      </c>
      <c r="B40" s="84">
        <f>'[36]3. Рух грошових коштів'!B27</f>
        <v>3090</v>
      </c>
      <c r="C40" s="248">
        <f>'3.Рух грошових коштів'!C28</f>
        <v>23</v>
      </c>
      <c r="D40" s="94">
        <f>'3.Рух грошових коштів'!D28</f>
        <v>57.835999999997647</v>
      </c>
      <c r="E40" s="94">
        <f t="shared" si="6"/>
        <v>34.835999999997647</v>
      </c>
      <c r="F40" s="94">
        <f t="shared" si="7"/>
        <v>251.46086956520713</v>
      </c>
    </row>
    <row r="41" spans="1:6" ht="37.5">
      <c r="A41" s="150" t="s">
        <v>158</v>
      </c>
      <c r="B41" s="84">
        <f>'[36]3. Рух грошових коштів'!B44</f>
        <v>3320</v>
      </c>
      <c r="C41" s="263" t="e">
        <f>'3.Рух грошових коштів'!C45</f>
        <v>#REF!</v>
      </c>
      <c r="D41" s="263">
        <f>'3.Рух грошових коштів'!D45</f>
        <v>0</v>
      </c>
      <c r="E41" s="263" t="e">
        <f t="shared" si="6"/>
        <v>#REF!</v>
      </c>
      <c r="F41" s="263"/>
    </row>
    <row r="42" spans="1:6" ht="37.5">
      <c r="A42" s="150" t="s">
        <v>105</v>
      </c>
      <c r="B42" s="84">
        <f>'[36]3. Рух грошових коштів'!B70</f>
        <v>3580</v>
      </c>
      <c r="C42" s="263" t="e">
        <f>'3.Рух грошових коштів'!C73</f>
        <v>#REF!</v>
      </c>
      <c r="D42" s="263">
        <f>'3.Рух грошових коштів'!D73</f>
        <v>0</v>
      </c>
      <c r="E42" s="263" t="e">
        <f t="shared" si="6"/>
        <v>#REF!</v>
      </c>
      <c r="F42" s="263"/>
    </row>
    <row r="43" spans="1:6" ht="24.75" customHeight="1">
      <c r="A43" s="150" t="s">
        <v>121</v>
      </c>
      <c r="B43" s="84">
        <f>'[36]3. Рух грошових коштів'!B73</f>
        <v>3610</v>
      </c>
      <c r="C43" s="263">
        <f>'3.Рух грошових коштів'!C76</f>
        <v>0</v>
      </c>
      <c r="D43" s="263">
        <f>'3.Рух грошових коштів'!D76</f>
        <v>0</v>
      </c>
      <c r="E43" s="263">
        <f t="shared" si="6"/>
        <v>0</v>
      </c>
      <c r="F43" s="263"/>
    </row>
    <row r="44" spans="1:6">
      <c r="A44" s="68" t="s">
        <v>106</v>
      </c>
      <c r="B44" s="146">
        <f>'[36]3. Рух грошових коштів'!B74</f>
        <v>3620</v>
      </c>
      <c r="C44" s="39">
        <f>'3.Рух грошових коштів'!C77</f>
        <v>498.45069187272236</v>
      </c>
      <c r="D44" s="39">
        <f>'3.Рух грошових коштів'!D77</f>
        <v>2169</v>
      </c>
      <c r="E44" s="39">
        <f t="shared" si="6"/>
        <v>1670.5493081272775</v>
      </c>
      <c r="F44" s="39">
        <f t="shared" si="7"/>
        <v>435.14835777454317</v>
      </c>
    </row>
    <row r="45" spans="1:6">
      <c r="A45" s="364" t="s">
        <v>149</v>
      </c>
      <c r="B45" s="365"/>
      <c r="C45" s="365"/>
      <c r="D45" s="365"/>
      <c r="E45" s="365"/>
      <c r="F45" s="365"/>
    </row>
    <row r="46" spans="1:6">
      <c r="A46" s="68" t="s">
        <v>148</v>
      </c>
      <c r="B46" s="84">
        <f>'[36]4. Кап. інвестиції'!B7</f>
        <v>4000</v>
      </c>
      <c r="C46" s="39">
        <f>'4.Кап. інвестиції'!C7</f>
        <v>6464.6</v>
      </c>
      <c r="D46" s="39">
        <f>'4.Кап. інвестиції'!D7</f>
        <v>3733</v>
      </c>
      <c r="E46" s="39">
        <f t="shared" ref="E46" si="8">D46-C46</f>
        <v>-2731.6000000000004</v>
      </c>
      <c r="F46" s="39">
        <f t="shared" ref="F46" si="9">D46/C46*100</f>
        <v>57.745258794047579</v>
      </c>
    </row>
    <row r="47" spans="1:6">
      <c r="A47" s="366"/>
      <c r="B47" s="366"/>
      <c r="C47" s="366"/>
      <c r="D47" s="366"/>
      <c r="E47" s="366"/>
      <c r="F47" s="366"/>
    </row>
    <row r="48" spans="1:6">
      <c r="A48" s="151" t="s">
        <v>433</v>
      </c>
      <c r="B48" s="367" t="s">
        <v>272</v>
      </c>
      <c r="C48" s="367"/>
      <c r="D48" s="152"/>
      <c r="E48" s="368" t="s">
        <v>271</v>
      </c>
      <c r="F48" s="368"/>
    </row>
    <row r="49" spans="1:6" s="103" customFormat="1" ht="12.75">
      <c r="A49" s="109" t="s">
        <v>330</v>
      </c>
      <c r="B49" s="360" t="s">
        <v>57</v>
      </c>
      <c r="C49" s="360"/>
      <c r="D49" s="111"/>
      <c r="E49" s="361" t="s">
        <v>325</v>
      </c>
      <c r="F49" s="361"/>
    </row>
    <row r="51" spans="1:6">
      <c r="A51" s="20"/>
    </row>
    <row r="52" spans="1:6">
      <c r="A52" s="20"/>
    </row>
    <row r="53" spans="1:6">
      <c r="A53" s="20"/>
    </row>
    <row r="54" spans="1:6">
      <c r="A54" s="20"/>
    </row>
    <row r="55" spans="1:6">
      <c r="A55" s="20"/>
    </row>
    <row r="56" spans="1:6">
      <c r="A56" s="20"/>
    </row>
    <row r="57" spans="1:6">
      <c r="A57" s="20"/>
    </row>
    <row r="58" spans="1:6">
      <c r="A58" s="20"/>
    </row>
    <row r="59" spans="1:6">
      <c r="A59" s="20"/>
    </row>
    <row r="60" spans="1:6">
      <c r="A60" s="20"/>
    </row>
    <row r="61" spans="1:6">
      <c r="A61" s="20"/>
    </row>
    <row r="62" spans="1:6">
      <c r="A62" s="20"/>
    </row>
    <row r="63" spans="1:6">
      <c r="A63" s="20"/>
    </row>
    <row r="64" spans="1:6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  <row r="108" spans="1:1">
      <c r="A108" s="20"/>
    </row>
    <row r="109" spans="1:1">
      <c r="A109" s="20"/>
    </row>
    <row r="110" spans="1:1">
      <c r="A110" s="20"/>
    </row>
    <row r="111" spans="1:1">
      <c r="A111" s="20"/>
    </row>
    <row r="112" spans="1:1">
      <c r="A112" s="20"/>
    </row>
    <row r="113" spans="1:1">
      <c r="A113" s="20"/>
    </row>
    <row r="114" spans="1:1">
      <c r="A114" s="20"/>
    </row>
    <row r="115" spans="1:1">
      <c r="A115" s="20"/>
    </row>
    <row r="116" spans="1:1">
      <c r="A116" s="20"/>
    </row>
    <row r="117" spans="1:1">
      <c r="A117" s="20"/>
    </row>
    <row r="118" spans="1:1">
      <c r="A118" s="20"/>
    </row>
    <row r="119" spans="1:1">
      <c r="A119" s="20"/>
    </row>
    <row r="120" spans="1:1">
      <c r="A120" s="20"/>
    </row>
    <row r="121" spans="1:1">
      <c r="A121" s="20"/>
    </row>
    <row r="122" spans="1:1">
      <c r="A122" s="20"/>
    </row>
    <row r="123" spans="1:1">
      <c r="A123" s="20"/>
    </row>
    <row r="124" spans="1:1">
      <c r="A124" s="20"/>
    </row>
    <row r="125" spans="1:1">
      <c r="A125" s="20"/>
    </row>
    <row r="126" spans="1:1">
      <c r="A126" s="20"/>
    </row>
    <row r="127" spans="1:1">
      <c r="A127" s="20"/>
    </row>
    <row r="128" spans="1:1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</sheetData>
  <mergeCells count="17">
    <mergeCell ref="B49:C49"/>
    <mergeCell ref="E49:F49"/>
    <mergeCell ref="A14:F14"/>
    <mergeCell ref="A30:F30"/>
    <mergeCell ref="A38:F38"/>
    <mergeCell ref="A45:F45"/>
    <mergeCell ref="A47:F47"/>
    <mergeCell ref="B48:C48"/>
    <mergeCell ref="E48:F48"/>
    <mergeCell ref="A11:A12"/>
    <mergeCell ref="B11:B12"/>
    <mergeCell ref="C11:F11"/>
    <mergeCell ref="A4:F4"/>
    <mergeCell ref="A5:F5"/>
    <mergeCell ref="A6:F6"/>
    <mergeCell ref="A7:F7"/>
    <mergeCell ref="A9:F9"/>
  </mergeCells>
  <printOptions horizontalCentered="1"/>
  <pageMargins left="0.70866141732283472" right="0.70866141732283472" top="0.43307086614173229" bottom="0.43307086614173229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338"/>
  <sheetViews>
    <sheetView view="pageBreakPreview" zoomScale="82" zoomScaleNormal="80" zoomScaleSheetLayoutView="82" workbookViewId="0">
      <selection activeCell="G7" sqref="G7:G9"/>
    </sheetView>
  </sheetViews>
  <sheetFormatPr defaultRowHeight="18.75" outlineLevelRow="1"/>
  <cols>
    <col min="1" max="1" width="48.42578125" style="93" customWidth="1"/>
    <col min="2" max="2" width="8.85546875" style="11" customWidth="1"/>
    <col min="3" max="3" width="12.85546875" style="11" customWidth="1"/>
    <col min="4" max="4" width="12.7109375" style="285" customWidth="1"/>
    <col min="5" max="5" width="13.7109375" style="93" customWidth="1"/>
    <col min="6" max="6" width="13.28515625" style="93" customWidth="1"/>
    <col min="7" max="7" width="35.85546875" style="93" customWidth="1"/>
    <col min="8" max="8" width="24.5703125" style="93" customWidth="1"/>
    <col min="9" max="9" width="24.5703125" style="243" customWidth="1"/>
  </cols>
  <sheetData>
    <row r="1" spans="1:9" ht="20.25" customHeight="1">
      <c r="A1" s="371" t="s">
        <v>436</v>
      </c>
      <c r="B1" s="371"/>
      <c r="C1" s="371"/>
      <c r="D1" s="371"/>
      <c r="E1" s="371"/>
      <c r="F1" s="371"/>
      <c r="G1" s="371"/>
      <c r="H1" s="127"/>
      <c r="I1" s="127"/>
    </row>
    <row r="2" spans="1:9" ht="15.75">
      <c r="A2" s="54"/>
      <c r="B2" s="36"/>
      <c r="C2" s="54"/>
      <c r="D2" s="283"/>
      <c r="E2" s="54"/>
      <c r="F2" s="54"/>
      <c r="G2" s="54"/>
      <c r="H2"/>
      <c r="I2"/>
    </row>
    <row r="3" spans="1:9" ht="15.75" customHeight="1">
      <c r="A3" s="369" t="s">
        <v>169</v>
      </c>
      <c r="B3" s="370" t="s">
        <v>5</v>
      </c>
      <c r="C3" s="370" t="s">
        <v>307</v>
      </c>
      <c r="D3" s="370"/>
      <c r="E3" s="370"/>
      <c r="F3" s="370"/>
      <c r="G3" s="375" t="s">
        <v>312</v>
      </c>
      <c r="H3"/>
      <c r="I3"/>
    </row>
    <row r="4" spans="1:9" ht="48.75" customHeight="1">
      <c r="A4" s="369"/>
      <c r="B4" s="370"/>
      <c r="C4" s="99" t="s">
        <v>305</v>
      </c>
      <c r="D4" s="280" t="s">
        <v>308</v>
      </c>
      <c r="E4" s="99" t="s">
        <v>309</v>
      </c>
      <c r="F4" s="99" t="s">
        <v>311</v>
      </c>
      <c r="G4" s="376"/>
      <c r="H4"/>
      <c r="I4"/>
    </row>
    <row r="5" spans="1:9" ht="15.75">
      <c r="A5" s="48">
        <v>1</v>
      </c>
      <c r="B5" s="89">
        <v>2</v>
      </c>
      <c r="C5" s="89">
        <v>4</v>
      </c>
      <c r="D5" s="281">
        <v>5</v>
      </c>
      <c r="E5" s="89">
        <v>6</v>
      </c>
      <c r="F5" s="89">
        <v>7</v>
      </c>
      <c r="G5" s="89"/>
      <c r="H5"/>
      <c r="I5"/>
    </row>
    <row r="6" spans="1:9">
      <c r="A6" s="373" t="s">
        <v>201</v>
      </c>
      <c r="B6" s="373"/>
      <c r="C6" s="373"/>
      <c r="D6" s="373"/>
      <c r="E6" s="373"/>
      <c r="F6" s="373"/>
      <c r="G6" s="373"/>
      <c r="H6"/>
      <c r="I6"/>
    </row>
    <row r="7" spans="1:9" ht="39" customHeight="1">
      <c r="A7" s="242" t="s">
        <v>413</v>
      </c>
      <c r="B7" s="80">
        <v>1000</v>
      </c>
      <c r="C7" s="39">
        <v>22337.8</v>
      </c>
      <c r="D7" s="39">
        <f t="shared" ref="D7" si="0">D8+D10</f>
        <v>26095</v>
      </c>
      <c r="E7" s="39">
        <f>D7-C7</f>
        <v>3757.2000000000007</v>
      </c>
      <c r="F7" s="69">
        <f>D7/C7*100</f>
        <v>116.81991959816993</v>
      </c>
      <c r="G7" s="383" t="s">
        <v>452</v>
      </c>
      <c r="I7" s="269">
        <f>D8*1.7</f>
        <v>33055.31</v>
      </c>
    </row>
    <row r="8" spans="1:9" ht="24" customHeight="1">
      <c r="A8" s="100" t="s">
        <v>204</v>
      </c>
      <c r="B8" s="89">
        <v>1010</v>
      </c>
      <c r="C8" s="336">
        <v>13113.5</v>
      </c>
      <c r="D8" s="338">
        <v>19444.3</v>
      </c>
      <c r="E8" s="94">
        <f>D8-C8</f>
        <v>6330.7999999999993</v>
      </c>
      <c r="F8" s="46">
        <f>D8/C8*100</f>
        <v>148.27696648492014</v>
      </c>
      <c r="G8" s="384"/>
      <c r="I8" s="269"/>
    </row>
    <row r="9" spans="1:9" ht="29.25" customHeight="1">
      <c r="A9" s="100" t="s">
        <v>205</v>
      </c>
      <c r="B9" s="89">
        <v>1011</v>
      </c>
      <c r="C9" s="336">
        <v>0</v>
      </c>
      <c r="D9" s="329">
        <v>0</v>
      </c>
      <c r="E9" s="94"/>
      <c r="F9" s="86"/>
      <c r="G9" s="384"/>
      <c r="I9" s="269">
        <f>D10*1.7</f>
        <v>11306.189999999999</v>
      </c>
    </row>
    <row r="10" spans="1:9" ht="18.75" customHeight="1">
      <c r="A10" s="100" t="s">
        <v>206</v>
      </c>
      <c r="B10" s="89">
        <v>1012</v>
      </c>
      <c r="C10" s="336">
        <v>9224.2999999999993</v>
      </c>
      <c r="D10" s="338">
        <v>6650.7</v>
      </c>
      <c r="E10" s="94">
        <f t="shared" ref="E10:E73" si="1">D10-C10</f>
        <v>-2573.5999999999995</v>
      </c>
      <c r="F10" s="46">
        <f>D10/C10*100</f>
        <v>72.099779929100322</v>
      </c>
      <c r="G10" s="273"/>
      <c r="I10" s="93"/>
    </row>
    <row r="11" spans="1:9" ht="38.25" customHeight="1">
      <c r="A11" s="71" t="s">
        <v>202</v>
      </c>
      <c r="B11" s="89">
        <v>1020</v>
      </c>
      <c r="C11" s="69">
        <v>491.4</v>
      </c>
      <c r="D11" s="39">
        <v>416</v>
      </c>
      <c r="E11" s="39">
        <f>D11-C11</f>
        <v>-75.399999999999977</v>
      </c>
      <c r="F11" s="69">
        <f t="shared" ref="F8:F72" si="2">D11/C11*100</f>
        <v>84.656084656084658</v>
      </c>
      <c r="G11" s="337" t="s">
        <v>443</v>
      </c>
      <c r="I11" s="270">
        <f>D11/D7</f>
        <v>1.5941751293351215E-2</v>
      </c>
    </row>
    <row r="12" spans="1:9" ht="21.75" customHeight="1">
      <c r="A12" s="100" t="s">
        <v>203</v>
      </c>
      <c r="B12" s="89">
        <v>1030</v>
      </c>
      <c r="C12" s="315">
        <v>0</v>
      </c>
      <c r="D12" s="246"/>
      <c r="E12" s="94"/>
      <c r="F12" s="33"/>
      <c r="G12" s="79"/>
      <c r="H12"/>
      <c r="I12"/>
    </row>
    <row r="13" spans="1:9" ht="44.25" customHeight="1">
      <c r="A13" s="79" t="s">
        <v>78</v>
      </c>
      <c r="B13" s="112">
        <v>1040</v>
      </c>
      <c r="C13" s="39">
        <v>21846.399999999998</v>
      </c>
      <c r="D13" s="39">
        <f>D7-D11-D12</f>
        <v>25679</v>
      </c>
      <c r="E13" s="39">
        <f t="shared" si="1"/>
        <v>3832.6000000000022</v>
      </c>
      <c r="F13" s="39">
        <f>D13/C13*100</f>
        <v>117.5433938772521</v>
      </c>
      <c r="G13" s="31"/>
      <c r="H13"/>
      <c r="I13"/>
    </row>
    <row r="14" spans="1:9" ht="53.25" customHeight="1">
      <c r="A14" s="79" t="s">
        <v>92</v>
      </c>
      <c r="B14" s="112">
        <v>1050</v>
      </c>
      <c r="C14" s="61">
        <v>16280.599999999999</v>
      </c>
      <c r="D14" s="61">
        <f>SUM(D15:D22)</f>
        <v>21560.799999999999</v>
      </c>
      <c r="E14" s="61">
        <f t="shared" si="1"/>
        <v>5280.2000000000007</v>
      </c>
      <c r="F14" s="61">
        <f>D14/C14*100</f>
        <v>132.4324656339447</v>
      </c>
      <c r="G14" s="122" t="s">
        <v>415</v>
      </c>
      <c r="H14"/>
      <c r="I14"/>
    </row>
    <row r="15" spans="1:9" ht="28.5" customHeight="1">
      <c r="A15" s="4" t="s">
        <v>180</v>
      </c>
      <c r="B15" s="47">
        <v>1051</v>
      </c>
      <c r="C15" s="336">
        <v>2332.7000000000003</v>
      </c>
      <c r="D15" s="343">
        <v>5850</v>
      </c>
      <c r="E15" s="94">
        <f>D15-C15</f>
        <v>3517.2999999999997</v>
      </c>
      <c r="F15" s="94">
        <f>D15/C15*100</f>
        <v>250.78235521070002</v>
      </c>
      <c r="G15" s="294" t="s">
        <v>410</v>
      </c>
      <c r="H15"/>
      <c r="I15"/>
    </row>
    <row r="16" spans="1:9" ht="42.75" customHeight="1">
      <c r="A16" s="4" t="s">
        <v>48</v>
      </c>
      <c r="B16" s="47">
        <v>1052</v>
      </c>
      <c r="C16" s="336">
        <v>2559.6999999999998</v>
      </c>
      <c r="D16" s="343">
        <v>2988</v>
      </c>
      <c r="E16" s="349">
        <f t="shared" ref="E16:E21" si="3">D16-C16</f>
        <v>428.30000000000018</v>
      </c>
      <c r="F16" s="349">
        <f t="shared" ref="F16:F21" si="4">D16/C16*100</f>
        <v>116.7324295815916</v>
      </c>
      <c r="G16" s="298" t="s">
        <v>458</v>
      </c>
      <c r="H16"/>
      <c r="I16"/>
    </row>
    <row r="17" spans="1:9">
      <c r="A17" s="4" t="s">
        <v>47</v>
      </c>
      <c r="B17" s="47">
        <v>1053</v>
      </c>
      <c r="C17" s="336">
        <v>173.7</v>
      </c>
      <c r="D17" s="343">
        <v>137.69999999999999</v>
      </c>
      <c r="E17" s="349">
        <f t="shared" si="3"/>
        <v>-36</v>
      </c>
      <c r="F17" s="349">
        <f t="shared" si="4"/>
        <v>79.274611398963728</v>
      </c>
      <c r="G17" s="123"/>
      <c r="H17"/>
      <c r="I17"/>
    </row>
    <row r="18" spans="1:9" ht="21" customHeight="1">
      <c r="A18" s="4" t="s">
        <v>23</v>
      </c>
      <c r="B18" s="47">
        <v>1054</v>
      </c>
      <c r="C18" s="336">
        <v>7584.1999999999989</v>
      </c>
      <c r="D18" s="343">
        <v>8814</v>
      </c>
      <c r="E18" s="349">
        <f t="shared" si="3"/>
        <v>1229.8000000000011</v>
      </c>
      <c r="F18" s="349">
        <f t="shared" si="4"/>
        <v>116.21528968117931</v>
      </c>
      <c r="G18" s="377" t="s">
        <v>412</v>
      </c>
      <c r="H18"/>
      <c r="I18"/>
    </row>
    <row r="19" spans="1:9" s="103" customFormat="1" ht="34.5" customHeight="1">
      <c r="A19" s="4" t="s">
        <v>24</v>
      </c>
      <c r="B19" s="47">
        <v>1055</v>
      </c>
      <c r="C19" s="336">
        <v>1668.4</v>
      </c>
      <c r="D19" s="343">
        <v>1832.1</v>
      </c>
      <c r="E19" s="349">
        <f t="shared" si="3"/>
        <v>163.69999999999982</v>
      </c>
      <c r="F19" s="349">
        <f t="shared" si="4"/>
        <v>109.81179573243824</v>
      </c>
      <c r="G19" s="378"/>
      <c r="H19"/>
      <c r="I19"/>
    </row>
    <row r="20" spans="1:9" s="103" customFormat="1" ht="77.25" customHeight="1">
      <c r="A20" s="163" t="s">
        <v>165</v>
      </c>
      <c r="B20" s="47">
        <v>1056</v>
      </c>
      <c r="C20" s="336">
        <v>361.6</v>
      </c>
      <c r="D20" s="342">
        <v>165</v>
      </c>
      <c r="E20" s="349">
        <f t="shared" si="3"/>
        <v>-196.60000000000002</v>
      </c>
      <c r="F20" s="349">
        <f t="shared" si="4"/>
        <v>45.630530973451322</v>
      </c>
      <c r="G20" s="123"/>
      <c r="H20"/>
      <c r="I20"/>
    </row>
    <row r="21" spans="1:9" s="103" customFormat="1" ht="37.5">
      <c r="A21" s="4" t="s">
        <v>46</v>
      </c>
      <c r="B21" s="47">
        <v>1057</v>
      </c>
      <c r="C21" s="46">
        <v>200</v>
      </c>
      <c r="D21" s="343">
        <v>254.4</v>
      </c>
      <c r="E21" s="349">
        <f t="shared" si="3"/>
        <v>54.400000000000006</v>
      </c>
      <c r="F21" s="349">
        <f t="shared" si="4"/>
        <v>127.2</v>
      </c>
      <c r="G21" s="125" t="s">
        <v>453</v>
      </c>
      <c r="H21"/>
      <c r="I21"/>
    </row>
    <row r="22" spans="1:9" s="103" customFormat="1" ht="21" customHeight="1">
      <c r="A22" s="4" t="s">
        <v>243</v>
      </c>
      <c r="B22" s="47">
        <v>1058</v>
      </c>
      <c r="C22" s="44">
        <v>1400.3000000000002</v>
      </c>
      <c r="D22" s="342">
        <f>D23+D24+D25+D26+D27+D28</f>
        <v>1519.6</v>
      </c>
      <c r="E22" s="44">
        <f t="shared" si="1"/>
        <v>119.29999999999973</v>
      </c>
      <c r="F22" s="44">
        <f t="shared" si="2"/>
        <v>108.51960294222664</v>
      </c>
      <c r="G22" s="123"/>
      <c r="H22"/>
      <c r="I22"/>
    </row>
    <row r="23" spans="1:9" s="106" customFormat="1" ht="26.25" customHeight="1">
      <c r="A23" s="108" t="s">
        <v>244</v>
      </c>
      <c r="B23" s="105" t="s">
        <v>274</v>
      </c>
      <c r="C23" s="101">
        <v>824.40000000000009</v>
      </c>
      <c r="D23" s="102">
        <v>833.2</v>
      </c>
      <c r="E23" s="102">
        <f t="shared" si="1"/>
        <v>8.7999999999999545</v>
      </c>
      <c r="F23" s="102">
        <f t="shared" si="2"/>
        <v>101.06744298884036</v>
      </c>
      <c r="G23" s="293"/>
      <c r="H23"/>
      <c r="I23"/>
    </row>
    <row r="24" spans="1:9" s="106" customFormat="1">
      <c r="A24" s="108" t="s">
        <v>245</v>
      </c>
      <c r="B24" s="105" t="s">
        <v>275</v>
      </c>
      <c r="C24" s="101">
        <v>7</v>
      </c>
      <c r="D24" s="102">
        <v>10.4</v>
      </c>
      <c r="E24" s="102">
        <f t="shared" si="1"/>
        <v>3.4000000000000004</v>
      </c>
      <c r="F24" s="102">
        <f t="shared" si="2"/>
        <v>148.57142857142858</v>
      </c>
      <c r="G24" s="124" t="s">
        <v>317</v>
      </c>
      <c r="H24"/>
      <c r="I24"/>
    </row>
    <row r="25" spans="1:9" s="106" customFormat="1">
      <c r="A25" s="108" t="s">
        <v>246</v>
      </c>
      <c r="B25" s="105" t="s">
        <v>276</v>
      </c>
      <c r="C25" s="101">
        <v>435.4</v>
      </c>
      <c r="D25" s="102">
        <v>337</v>
      </c>
      <c r="E25" s="102">
        <f t="shared" si="1"/>
        <v>-98.399999999999977</v>
      </c>
      <c r="F25" s="102">
        <f t="shared" si="2"/>
        <v>77.40009186954525</v>
      </c>
      <c r="G25" s="240"/>
      <c r="H25"/>
      <c r="I25"/>
    </row>
    <row r="26" spans="1:9" s="106" customFormat="1">
      <c r="A26" s="108" t="s">
        <v>247</v>
      </c>
      <c r="B26" s="105" t="s">
        <v>277</v>
      </c>
      <c r="C26" s="101">
        <v>0</v>
      </c>
      <c r="D26" s="102">
        <v>65</v>
      </c>
      <c r="E26" s="102">
        <f t="shared" si="1"/>
        <v>65</v>
      </c>
      <c r="F26" s="102">
        <v>0</v>
      </c>
      <c r="G26" s="241" t="s">
        <v>314</v>
      </c>
      <c r="H26"/>
      <c r="I26"/>
    </row>
    <row r="27" spans="1:9" s="106" customFormat="1">
      <c r="A27" s="108" t="s">
        <v>248</v>
      </c>
      <c r="B27" s="105" t="s">
        <v>278</v>
      </c>
      <c r="C27" s="101">
        <v>93.899999999999991</v>
      </c>
      <c r="D27" s="102">
        <v>12</v>
      </c>
      <c r="E27" s="102">
        <f t="shared" si="1"/>
        <v>-81.899999999999991</v>
      </c>
      <c r="F27" s="102">
        <f t="shared" si="2"/>
        <v>12.779552715654955</v>
      </c>
      <c r="G27" s="241" t="s">
        <v>314</v>
      </c>
      <c r="H27"/>
      <c r="I27"/>
    </row>
    <row r="28" spans="1:9" s="106" customFormat="1">
      <c r="A28" s="108" t="s">
        <v>213</v>
      </c>
      <c r="B28" s="105" t="s">
        <v>279</v>
      </c>
      <c r="C28" s="101">
        <v>39.6</v>
      </c>
      <c r="D28" s="102">
        <v>262</v>
      </c>
      <c r="E28" s="102">
        <f t="shared" si="1"/>
        <v>222.4</v>
      </c>
      <c r="F28" s="102">
        <f t="shared" si="2"/>
        <v>661.61616161616155</v>
      </c>
      <c r="G28" s="274" t="s">
        <v>297</v>
      </c>
      <c r="H28"/>
      <c r="I28"/>
    </row>
    <row r="29" spans="1:9">
      <c r="A29" s="38" t="s">
        <v>253</v>
      </c>
      <c r="B29" s="57">
        <v>1060</v>
      </c>
      <c r="C29" s="60">
        <v>5565.7999999999993</v>
      </c>
      <c r="D29" s="60">
        <f t="shared" ref="D29" si="5">D13-D14</f>
        <v>4118.2000000000007</v>
      </c>
      <c r="E29" s="60">
        <f t="shared" si="1"/>
        <v>-1447.5999999999985</v>
      </c>
      <c r="F29" s="60">
        <f t="shared" si="2"/>
        <v>73.991160300406079</v>
      </c>
      <c r="G29" s="60"/>
      <c r="H29"/>
      <c r="I29"/>
    </row>
    <row r="30" spans="1:9">
      <c r="A30" s="277" t="s">
        <v>211</v>
      </c>
      <c r="B30" s="55">
        <v>1070</v>
      </c>
      <c r="C30" s="56"/>
      <c r="D30" s="56"/>
      <c r="E30" s="56"/>
      <c r="F30" s="56"/>
      <c r="G30" s="120"/>
      <c r="H30"/>
      <c r="I30"/>
    </row>
    <row r="31" spans="1:9" ht="78" customHeight="1">
      <c r="A31" s="79" t="s">
        <v>156</v>
      </c>
      <c r="B31" s="55">
        <v>1080</v>
      </c>
      <c r="C31" s="50">
        <v>4420</v>
      </c>
      <c r="D31" s="50">
        <f>SUM(D32:D53)</f>
        <v>3074.2</v>
      </c>
      <c r="E31" s="50">
        <f t="shared" si="1"/>
        <v>-1345.8000000000002</v>
      </c>
      <c r="F31" s="50">
        <f t="shared" si="2"/>
        <v>69.552036199095014</v>
      </c>
      <c r="G31" s="293" t="s">
        <v>454</v>
      </c>
      <c r="H31"/>
      <c r="I31"/>
    </row>
    <row r="32" spans="1:9" s="103" customFormat="1" ht="38.25">
      <c r="A32" s="163" t="s">
        <v>77</v>
      </c>
      <c r="B32" s="47">
        <v>1081</v>
      </c>
      <c r="C32" s="53">
        <v>225.2</v>
      </c>
      <c r="D32" s="342">
        <v>162.6</v>
      </c>
      <c r="E32" s="44">
        <f t="shared" si="1"/>
        <v>-62.599999999999994</v>
      </c>
      <c r="F32" s="44">
        <f t="shared" si="2"/>
        <v>72.202486678507995</v>
      </c>
      <c r="G32" s="293" t="s">
        <v>455</v>
      </c>
      <c r="H32"/>
      <c r="I32"/>
    </row>
    <row r="33" spans="1:9" s="103" customFormat="1" ht="21.75" customHeight="1">
      <c r="A33" s="163" t="s">
        <v>147</v>
      </c>
      <c r="B33" s="47">
        <v>1082</v>
      </c>
      <c r="C33" s="53">
        <v>0</v>
      </c>
      <c r="D33" s="234">
        <v>0</v>
      </c>
      <c r="E33" s="234">
        <f t="shared" si="1"/>
        <v>0</v>
      </c>
      <c r="F33" s="102"/>
      <c r="G33" s="121"/>
      <c r="H33"/>
      <c r="I33"/>
    </row>
    <row r="34" spans="1:9" s="103" customFormat="1">
      <c r="A34" s="4" t="s">
        <v>45</v>
      </c>
      <c r="B34" s="47">
        <v>1083</v>
      </c>
      <c r="C34" s="53">
        <v>0</v>
      </c>
      <c r="D34" s="234">
        <v>0</v>
      </c>
      <c r="E34" s="234">
        <f t="shared" si="1"/>
        <v>0</v>
      </c>
      <c r="F34" s="102"/>
      <c r="G34" s="121"/>
      <c r="H34"/>
      <c r="I34"/>
    </row>
    <row r="35" spans="1:9" s="103" customFormat="1">
      <c r="A35" s="4" t="s">
        <v>7</v>
      </c>
      <c r="B35" s="47">
        <v>1084</v>
      </c>
      <c r="C35" s="53">
        <v>0</v>
      </c>
      <c r="D35" s="234">
        <v>0</v>
      </c>
      <c r="E35" s="234">
        <f t="shared" si="1"/>
        <v>0</v>
      </c>
      <c r="F35" s="102"/>
      <c r="G35" s="121"/>
      <c r="H35"/>
      <c r="I35"/>
    </row>
    <row r="36" spans="1:9" s="103" customFormat="1" ht="25.5">
      <c r="A36" s="4" t="s">
        <v>8</v>
      </c>
      <c r="B36" s="47">
        <v>1085</v>
      </c>
      <c r="C36" s="53">
        <v>54.1</v>
      </c>
      <c r="D36" s="342">
        <v>0</v>
      </c>
      <c r="E36" s="44">
        <f t="shared" si="1"/>
        <v>-54.1</v>
      </c>
      <c r="F36" s="44">
        <f t="shared" si="2"/>
        <v>0</v>
      </c>
      <c r="G36" s="124" t="s">
        <v>432</v>
      </c>
      <c r="H36"/>
      <c r="I36"/>
    </row>
    <row r="37" spans="1:9" s="103" customFormat="1">
      <c r="A37" s="4" t="s">
        <v>21</v>
      </c>
      <c r="B37" s="47">
        <v>1086</v>
      </c>
      <c r="C37" s="53">
        <v>15</v>
      </c>
      <c r="D37" s="342">
        <v>0</v>
      </c>
      <c r="E37" s="44">
        <f t="shared" si="1"/>
        <v>-15</v>
      </c>
      <c r="F37" s="290">
        <f t="shared" si="2"/>
        <v>0</v>
      </c>
      <c r="G37" s="32"/>
      <c r="H37"/>
      <c r="I37"/>
    </row>
    <row r="38" spans="1:9" s="103" customFormat="1">
      <c r="A38" s="4" t="s">
        <v>22</v>
      </c>
      <c r="B38" s="47">
        <v>1087</v>
      </c>
      <c r="C38" s="53">
        <v>15.6</v>
      </c>
      <c r="D38" s="342">
        <v>13.5</v>
      </c>
      <c r="E38" s="44">
        <f t="shared" si="1"/>
        <v>-2.0999999999999996</v>
      </c>
      <c r="F38" s="44">
        <f t="shared" si="2"/>
        <v>86.538461538461547</v>
      </c>
      <c r="G38" s="32"/>
      <c r="H38"/>
      <c r="I38"/>
    </row>
    <row r="39" spans="1:9" s="103" customFormat="1" ht="30" customHeight="1">
      <c r="A39" s="4" t="s">
        <v>23</v>
      </c>
      <c r="B39" s="47">
        <v>1088</v>
      </c>
      <c r="C39" s="53">
        <v>3014.1000000000004</v>
      </c>
      <c r="D39" s="342">
        <v>2268.1999999999998</v>
      </c>
      <c r="E39" s="102">
        <f t="shared" si="1"/>
        <v>-745.90000000000055</v>
      </c>
      <c r="F39" s="44">
        <f t="shared" si="2"/>
        <v>75.252977671610083</v>
      </c>
      <c r="G39" s="379" t="s">
        <v>456</v>
      </c>
      <c r="H39"/>
      <c r="I39"/>
    </row>
    <row r="40" spans="1:9" s="103" customFormat="1" ht="39.75" customHeight="1">
      <c r="A40" s="4" t="s">
        <v>24</v>
      </c>
      <c r="B40" s="47">
        <v>1089</v>
      </c>
      <c r="C40" s="53">
        <v>663.19999999999993</v>
      </c>
      <c r="D40" s="342">
        <v>490.3</v>
      </c>
      <c r="E40" s="102">
        <f t="shared" si="1"/>
        <v>-172.89999999999992</v>
      </c>
      <c r="F40" s="44">
        <f t="shared" si="2"/>
        <v>73.929433051869736</v>
      </c>
      <c r="G40" s="380"/>
      <c r="H40"/>
      <c r="I40"/>
    </row>
    <row r="41" spans="1:9" s="103" customFormat="1" ht="37.5" customHeight="1">
      <c r="A41" s="163" t="s">
        <v>25</v>
      </c>
      <c r="B41" s="47">
        <v>1090</v>
      </c>
      <c r="C41" s="53">
        <v>8.4</v>
      </c>
      <c r="D41" s="342">
        <v>3.5</v>
      </c>
      <c r="E41" s="44">
        <f t="shared" si="1"/>
        <v>-4.9000000000000004</v>
      </c>
      <c r="F41" s="44">
        <f t="shared" si="2"/>
        <v>41.666666666666664</v>
      </c>
      <c r="G41" s="32"/>
      <c r="H41"/>
      <c r="I41"/>
    </row>
    <row r="42" spans="1:9" s="103" customFormat="1" ht="60" customHeight="1">
      <c r="A42" s="163" t="s">
        <v>26</v>
      </c>
      <c r="B42" s="47">
        <v>1091</v>
      </c>
      <c r="C42" s="335">
        <v>0</v>
      </c>
      <c r="D42" s="217"/>
      <c r="E42" s="234">
        <f>D42-C42</f>
        <v>0</v>
      </c>
      <c r="F42" s="44"/>
      <c r="G42" s="32"/>
      <c r="H42"/>
      <c r="I42"/>
    </row>
    <row r="43" spans="1:9" s="103" customFormat="1" ht="40.5" customHeight="1">
      <c r="A43" s="4" t="s">
        <v>27</v>
      </c>
      <c r="B43" s="47">
        <v>1092</v>
      </c>
      <c r="C43" s="53">
        <v>18</v>
      </c>
      <c r="D43" s="342">
        <v>0</v>
      </c>
      <c r="E43" s="44">
        <f>D43-C43</f>
        <v>-18</v>
      </c>
      <c r="F43" s="44">
        <f>D43/C43*100</f>
        <v>0</v>
      </c>
      <c r="G43" s="32"/>
      <c r="H43"/>
      <c r="I43"/>
    </row>
    <row r="44" spans="1:9" s="103" customFormat="1" ht="37.5">
      <c r="A44" s="4" t="s">
        <v>28</v>
      </c>
      <c r="B44" s="47">
        <v>1093</v>
      </c>
      <c r="C44" s="335">
        <v>0</v>
      </c>
      <c r="D44" s="342"/>
      <c r="E44" s="44"/>
      <c r="F44" s="44"/>
      <c r="G44" s="32"/>
      <c r="H44"/>
      <c r="I44"/>
    </row>
    <row r="45" spans="1:9" s="103" customFormat="1">
      <c r="A45" s="4" t="s">
        <v>29</v>
      </c>
      <c r="B45" s="47">
        <v>1094</v>
      </c>
      <c r="C45" s="335">
        <v>0</v>
      </c>
      <c r="D45" s="342"/>
      <c r="E45" s="44"/>
      <c r="F45" s="44"/>
      <c r="G45" s="32"/>
      <c r="H45"/>
      <c r="I45"/>
    </row>
    <row r="46" spans="1:9" s="103" customFormat="1" ht="22.5" customHeight="1">
      <c r="A46" s="4" t="s">
        <v>49</v>
      </c>
      <c r="B46" s="47">
        <v>1095</v>
      </c>
      <c r="C46" s="335">
        <v>0</v>
      </c>
      <c r="D46" s="342"/>
      <c r="E46" s="44"/>
      <c r="F46" s="44"/>
      <c r="G46" s="32"/>
      <c r="H46"/>
      <c r="I46"/>
    </row>
    <row r="47" spans="1:9" s="103" customFormat="1">
      <c r="A47" s="4" t="s">
        <v>30</v>
      </c>
      <c r="B47" s="47">
        <v>1096</v>
      </c>
      <c r="C47" s="335">
        <v>0</v>
      </c>
      <c r="D47" s="342"/>
      <c r="E47" s="44"/>
      <c r="F47" s="44"/>
      <c r="G47" s="32"/>
      <c r="H47"/>
      <c r="I47"/>
    </row>
    <row r="48" spans="1:9" s="103" customFormat="1">
      <c r="A48" s="4" t="s">
        <v>31</v>
      </c>
      <c r="B48" s="47">
        <v>1097</v>
      </c>
      <c r="C48" s="335">
        <v>0</v>
      </c>
      <c r="D48" s="342"/>
      <c r="E48" s="44"/>
      <c r="F48" s="44"/>
      <c r="G48" s="32"/>
      <c r="H48"/>
      <c r="I48"/>
    </row>
    <row r="49" spans="1:9" s="103" customFormat="1" ht="39.75" customHeight="1">
      <c r="A49" s="163" t="s">
        <v>32</v>
      </c>
      <c r="B49" s="47">
        <v>1098</v>
      </c>
      <c r="C49" s="335">
        <v>0</v>
      </c>
      <c r="D49" s="342"/>
      <c r="E49" s="44"/>
      <c r="F49" s="44"/>
      <c r="G49" s="32"/>
      <c r="H49"/>
      <c r="I49"/>
    </row>
    <row r="50" spans="1:9" s="103" customFormat="1" ht="37.5" customHeight="1">
      <c r="A50" s="4" t="s">
        <v>33</v>
      </c>
      <c r="B50" s="47">
        <v>1099</v>
      </c>
      <c r="C50" s="53">
        <v>13.399999999999999</v>
      </c>
      <c r="D50" s="342"/>
      <c r="E50" s="328">
        <f>D50-C50</f>
        <v>-13.399999999999999</v>
      </c>
      <c r="F50" s="44"/>
      <c r="G50" s="32"/>
      <c r="H50"/>
      <c r="I50"/>
    </row>
    <row r="51" spans="1:9" s="103" customFormat="1" ht="72" customHeight="1">
      <c r="A51" s="4" t="s">
        <v>55</v>
      </c>
      <c r="B51" s="47">
        <v>1100</v>
      </c>
      <c r="C51" s="53">
        <v>393</v>
      </c>
      <c r="D51" s="342">
        <v>0</v>
      </c>
      <c r="E51" s="44">
        <f>D51-C51</f>
        <v>-393</v>
      </c>
      <c r="F51" s="290">
        <f t="shared" si="2"/>
        <v>0</v>
      </c>
      <c r="G51" s="381" t="s">
        <v>442</v>
      </c>
      <c r="H51"/>
      <c r="I51"/>
    </row>
    <row r="52" spans="1:9" s="103" customFormat="1" ht="35.25" customHeight="1">
      <c r="A52" s="4" t="s">
        <v>302</v>
      </c>
      <c r="B52" s="47">
        <v>1101</v>
      </c>
      <c r="C52" s="53">
        <v>150</v>
      </c>
      <c r="D52" s="342">
        <v>0</v>
      </c>
      <c r="E52" s="44">
        <f>D52-C52</f>
        <v>-150</v>
      </c>
      <c r="F52" s="290">
        <f t="shared" si="2"/>
        <v>0</v>
      </c>
      <c r="G52" s="382"/>
      <c r="H52"/>
      <c r="I52"/>
    </row>
    <row r="53" spans="1:9" s="103" customFormat="1" ht="40.5" customHeight="1">
      <c r="A53" s="4" t="s">
        <v>241</v>
      </c>
      <c r="B53" s="47">
        <v>1102</v>
      </c>
      <c r="C53" s="44">
        <v>243</v>
      </c>
      <c r="D53" s="342">
        <f>D54+D55+D56+D57+D58+D59+D60+D61+D62</f>
        <v>136.1</v>
      </c>
      <c r="E53" s="44">
        <f t="shared" si="1"/>
        <v>-106.9</v>
      </c>
      <c r="F53" s="44">
        <f t="shared" si="2"/>
        <v>56.008230452674887</v>
      </c>
      <c r="G53" s="32"/>
      <c r="H53"/>
      <c r="I53"/>
    </row>
    <row r="54" spans="1:9" s="103" customFormat="1" ht="15.75">
      <c r="A54" s="52" t="s">
        <v>232</v>
      </c>
      <c r="B54" s="47"/>
      <c r="C54" s="104">
        <v>0</v>
      </c>
      <c r="D54" s="102">
        <v>0.4</v>
      </c>
      <c r="E54" s="102">
        <f t="shared" ref="E54" si="6">D54-C54</f>
        <v>0.4</v>
      </c>
      <c r="F54" s="233">
        <v>0</v>
      </c>
      <c r="G54" s="271"/>
      <c r="H54"/>
      <c r="I54"/>
    </row>
    <row r="55" spans="1:9" s="103" customFormat="1" ht="15.75">
      <c r="A55" s="52" t="s">
        <v>47</v>
      </c>
      <c r="B55" s="47"/>
      <c r="C55" s="104">
        <v>40.5</v>
      </c>
      <c r="D55" s="102">
        <v>40.9</v>
      </c>
      <c r="E55" s="102">
        <f t="shared" si="1"/>
        <v>0.39999999999999858</v>
      </c>
      <c r="F55" s="102">
        <f t="shared" si="2"/>
        <v>100.98765432098764</v>
      </c>
      <c r="G55" s="271"/>
      <c r="H55"/>
      <c r="I55"/>
    </row>
    <row r="56" spans="1:9" s="103" customFormat="1" ht="15.75">
      <c r="A56" s="52" t="s">
        <v>234</v>
      </c>
      <c r="B56" s="47"/>
      <c r="C56" s="104">
        <v>3.3</v>
      </c>
      <c r="D56" s="102">
        <v>3.7</v>
      </c>
      <c r="E56" s="102">
        <f t="shared" si="1"/>
        <v>0.40000000000000036</v>
      </c>
      <c r="F56" s="102">
        <f t="shared" si="2"/>
        <v>112.12121212121214</v>
      </c>
      <c r="G56" s="32"/>
      <c r="H56"/>
      <c r="I56"/>
    </row>
    <row r="57" spans="1:9" s="103" customFormat="1" ht="15.75">
      <c r="A57" s="52" t="s">
        <v>233</v>
      </c>
      <c r="B57" s="47"/>
      <c r="C57" s="104">
        <v>6.4</v>
      </c>
      <c r="D57" s="102">
        <v>4.9000000000000004</v>
      </c>
      <c r="E57" s="102">
        <f t="shared" si="1"/>
        <v>-1.5</v>
      </c>
      <c r="F57" s="102">
        <f t="shared" si="2"/>
        <v>76.5625</v>
      </c>
      <c r="G57" s="239" t="s">
        <v>316</v>
      </c>
      <c r="H57"/>
      <c r="I57"/>
    </row>
    <row r="58" spans="1:9" s="103" customFormat="1" ht="30" customHeight="1">
      <c r="A58" s="52" t="s">
        <v>235</v>
      </c>
      <c r="B58" s="47"/>
      <c r="C58" s="104">
        <v>3.3</v>
      </c>
      <c r="D58" s="102">
        <v>0</v>
      </c>
      <c r="E58" s="102">
        <f t="shared" si="1"/>
        <v>-3.3</v>
      </c>
      <c r="F58" s="233">
        <f t="shared" si="2"/>
        <v>0</v>
      </c>
      <c r="G58" s="124" t="s">
        <v>315</v>
      </c>
      <c r="H58"/>
      <c r="I58"/>
    </row>
    <row r="59" spans="1:9" s="103" customFormat="1" ht="15.75">
      <c r="A59" s="52" t="s">
        <v>236</v>
      </c>
      <c r="B59" s="47"/>
      <c r="C59" s="104">
        <v>20</v>
      </c>
      <c r="D59" s="102">
        <v>20.9</v>
      </c>
      <c r="E59" s="102">
        <f t="shared" si="1"/>
        <v>0.89999999999999858</v>
      </c>
      <c r="F59" s="102">
        <f t="shared" si="2"/>
        <v>104.5</v>
      </c>
      <c r="G59" s="239" t="s">
        <v>317</v>
      </c>
      <c r="H59"/>
      <c r="I59"/>
    </row>
    <row r="60" spans="1:9" s="106" customFormat="1" ht="19.5" customHeight="1">
      <c r="A60" s="52" t="s">
        <v>138</v>
      </c>
      <c r="B60" s="117"/>
      <c r="C60" s="104">
        <v>115.50000000000001</v>
      </c>
      <c r="D60" s="102">
        <v>33.5</v>
      </c>
      <c r="E60" s="102">
        <f t="shared" si="1"/>
        <v>-82.000000000000014</v>
      </c>
      <c r="F60" s="102">
        <f t="shared" si="2"/>
        <v>29.004329004328998</v>
      </c>
      <c r="G60" s="239" t="s">
        <v>318</v>
      </c>
    </row>
    <row r="61" spans="1:9" s="106" customFormat="1" ht="24" customHeight="1">
      <c r="A61" s="52" t="s">
        <v>301</v>
      </c>
      <c r="B61" s="117"/>
      <c r="C61" s="104">
        <v>54</v>
      </c>
      <c r="D61" s="102">
        <v>31.8</v>
      </c>
      <c r="E61" s="102">
        <f t="shared" si="1"/>
        <v>-22.2</v>
      </c>
      <c r="F61" s="102">
        <f t="shared" si="2"/>
        <v>58.888888888888893</v>
      </c>
      <c r="G61" s="126"/>
    </row>
    <row r="62" spans="1:9" s="106" customFormat="1" ht="18.75" hidden="1" customHeight="1" outlineLevel="1">
      <c r="A62" s="52"/>
      <c r="B62" s="117"/>
      <c r="C62" s="104"/>
      <c r="D62" s="102"/>
      <c r="E62" s="102"/>
      <c r="F62" s="102"/>
      <c r="G62" s="126"/>
    </row>
    <row r="63" spans="1:9" ht="25.5" collapsed="1">
      <c r="A63" s="49" t="s">
        <v>157</v>
      </c>
      <c r="B63" s="55">
        <v>1110</v>
      </c>
      <c r="C63" s="50">
        <v>1040</v>
      </c>
      <c r="D63" s="50">
        <f t="shared" ref="C63:D63" si="7">SUM(D64:D70)</f>
        <v>909.3</v>
      </c>
      <c r="E63" s="297">
        <f t="shared" ref="E63" si="8">D63-C63</f>
        <v>-130.70000000000005</v>
      </c>
      <c r="F63" s="297">
        <f t="shared" ref="F63" si="9">D63/C63*100</f>
        <v>87.432692307692307</v>
      </c>
      <c r="G63" s="124" t="s">
        <v>431</v>
      </c>
      <c r="H63"/>
      <c r="I63"/>
    </row>
    <row r="64" spans="1:9" s="103" customFormat="1" ht="15.75">
      <c r="A64" s="33" t="s">
        <v>132</v>
      </c>
      <c r="B64" s="47">
        <v>1111</v>
      </c>
      <c r="C64" s="44"/>
      <c r="D64" s="288"/>
      <c r="E64" s="44"/>
      <c r="F64" s="44"/>
      <c r="G64" s="123"/>
      <c r="H64"/>
      <c r="I64"/>
    </row>
    <row r="65" spans="1:9" s="103" customFormat="1" ht="15.75" customHeight="1">
      <c r="A65" s="33" t="s">
        <v>133</v>
      </c>
      <c r="B65" s="47">
        <v>1112</v>
      </c>
      <c r="C65" s="44"/>
      <c r="D65" s="288"/>
      <c r="E65" s="44"/>
      <c r="F65" s="44"/>
      <c r="H65"/>
      <c r="I65"/>
    </row>
    <row r="66" spans="1:9" s="103" customFormat="1" ht="15.75" customHeight="1">
      <c r="A66" s="33" t="s">
        <v>23</v>
      </c>
      <c r="B66" s="47">
        <v>1113</v>
      </c>
      <c r="C66" s="44">
        <v>570.4</v>
      </c>
      <c r="D66" s="342">
        <v>601.29999999999995</v>
      </c>
      <c r="E66" s="290">
        <f t="shared" si="1"/>
        <v>30.899999999999977</v>
      </c>
      <c r="F66" s="290">
        <f t="shared" si="2"/>
        <v>105.41725105189342</v>
      </c>
      <c r="G66" s="314"/>
      <c r="H66"/>
      <c r="I66"/>
    </row>
    <row r="67" spans="1:9" s="103" customFormat="1" ht="21.75" customHeight="1">
      <c r="A67" s="33" t="s">
        <v>313</v>
      </c>
      <c r="B67" s="48" t="s">
        <v>289</v>
      </c>
      <c r="C67" s="320">
        <v>125.6</v>
      </c>
      <c r="D67" s="342">
        <v>111.5</v>
      </c>
      <c r="E67" s="290">
        <f t="shared" si="1"/>
        <v>-14.099999999999994</v>
      </c>
      <c r="F67" s="290">
        <f t="shared" si="2"/>
        <v>88.773885350318466</v>
      </c>
      <c r="G67" s="314"/>
      <c r="H67"/>
      <c r="I67"/>
    </row>
    <row r="68" spans="1:9" s="103" customFormat="1" ht="31.5">
      <c r="A68" s="33" t="s">
        <v>46</v>
      </c>
      <c r="B68" s="47">
        <v>1114</v>
      </c>
      <c r="C68" s="320">
        <v>108.4</v>
      </c>
      <c r="D68" s="342">
        <v>2.1</v>
      </c>
      <c r="E68" s="290">
        <f t="shared" si="1"/>
        <v>-106.30000000000001</v>
      </c>
      <c r="F68" s="290">
        <f t="shared" si="2"/>
        <v>1.9372693726937271</v>
      </c>
      <c r="G68" s="123"/>
      <c r="H68"/>
      <c r="I68"/>
    </row>
    <row r="69" spans="1:9" s="103" customFormat="1" ht="15.75">
      <c r="A69" s="33" t="s">
        <v>58</v>
      </c>
      <c r="B69" s="47">
        <v>1115</v>
      </c>
      <c r="C69" s="44"/>
      <c r="D69" s="330"/>
      <c r="E69" s="44"/>
      <c r="F69" s="44"/>
      <c r="G69" s="123"/>
      <c r="H69"/>
      <c r="I69"/>
    </row>
    <row r="70" spans="1:9" s="103" customFormat="1" ht="15.75">
      <c r="A70" s="33" t="s">
        <v>240</v>
      </c>
      <c r="B70" s="47">
        <v>1116</v>
      </c>
      <c r="C70" s="44">
        <v>235.6</v>
      </c>
      <c r="D70" s="342">
        <f t="shared" ref="C70:D70" si="10">D71+D72+D73+D74+D75+D76+D77+D78+D79</f>
        <v>194.39999999999998</v>
      </c>
      <c r="E70" s="44">
        <f t="shared" si="1"/>
        <v>-41.200000000000017</v>
      </c>
      <c r="F70" s="44">
        <f t="shared" si="2"/>
        <v>82.512733446519519</v>
      </c>
      <c r="G70" s="123"/>
      <c r="H70"/>
      <c r="I70"/>
    </row>
    <row r="71" spans="1:9" s="106" customFormat="1" ht="15.75">
      <c r="A71" s="52" t="s">
        <v>232</v>
      </c>
      <c r="B71" s="105" t="s">
        <v>280</v>
      </c>
      <c r="C71" s="102">
        <v>60.199999999999996</v>
      </c>
      <c r="D71" s="102">
        <v>20.399999999999999</v>
      </c>
      <c r="E71" s="102">
        <f t="shared" si="1"/>
        <v>-39.799999999999997</v>
      </c>
      <c r="F71" s="102">
        <f t="shared" si="2"/>
        <v>33.887043189368768</v>
      </c>
      <c r="G71" s="255" t="s">
        <v>317</v>
      </c>
      <c r="H71"/>
      <c r="I71"/>
    </row>
    <row r="72" spans="1:9" s="106" customFormat="1" ht="15.75">
      <c r="A72" s="52" t="s">
        <v>47</v>
      </c>
      <c r="B72" s="105" t="s">
        <v>281</v>
      </c>
      <c r="C72" s="102">
        <v>14</v>
      </c>
      <c r="D72" s="102">
        <f>11.8</f>
        <v>11.8</v>
      </c>
      <c r="E72" s="102">
        <f t="shared" si="1"/>
        <v>-2.1999999999999993</v>
      </c>
      <c r="F72" s="102">
        <f t="shared" si="2"/>
        <v>84.285714285714292</v>
      </c>
      <c r="G72" s="255" t="s">
        <v>317</v>
      </c>
      <c r="H72"/>
      <c r="I72"/>
    </row>
    <row r="73" spans="1:9" s="106" customFormat="1" ht="15.75">
      <c r="A73" s="52" t="s">
        <v>234</v>
      </c>
      <c r="B73" s="105" t="s">
        <v>282</v>
      </c>
      <c r="C73" s="102">
        <v>0.60000000000000009</v>
      </c>
      <c r="D73" s="102">
        <v>0.5</v>
      </c>
      <c r="E73" s="102">
        <f t="shared" si="1"/>
        <v>-0.10000000000000009</v>
      </c>
      <c r="F73" s="102">
        <f t="shared" ref="F73:F96" si="11">D73/C73*100</f>
        <v>83.333333333333329</v>
      </c>
      <c r="G73" s="123"/>
      <c r="H73"/>
      <c r="I73"/>
    </row>
    <row r="74" spans="1:9" s="106" customFormat="1" ht="15.75">
      <c r="A74" s="52" t="s">
        <v>237</v>
      </c>
      <c r="B74" s="105" t="s">
        <v>283</v>
      </c>
      <c r="C74" s="102">
        <v>1.6</v>
      </c>
      <c r="D74" s="102">
        <v>2</v>
      </c>
      <c r="E74" s="102">
        <f t="shared" ref="E74:E97" si="12">D74-C74</f>
        <v>0.39999999999999991</v>
      </c>
      <c r="F74" s="102">
        <f t="shared" si="11"/>
        <v>125</v>
      </c>
      <c r="G74" s="239" t="s">
        <v>317</v>
      </c>
      <c r="H74"/>
      <c r="I74"/>
    </row>
    <row r="75" spans="1:9" s="106" customFormat="1" ht="19.5" customHeight="1">
      <c r="A75" s="52" t="s">
        <v>239</v>
      </c>
      <c r="B75" s="105" t="s">
        <v>284</v>
      </c>
      <c r="C75" s="102">
        <v>126.7</v>
      </c>
      <c r="D75" s="102">
        <v>126.5</v>
      </c>
      <c r="E75" s="102">
        <f t="shared" si="12"/>
        <v>-0.20000000000000284</v>
      </c>
      <c r="F75" s="102">
        <f t="shared" si="11"/>
        <v>99.842146803472758</v>
      </c>
      <c r="G75" s="295"/>
      <c r="H75"/>
      <c r="I75"/>
    </row>
    <row r="76" spans="1:9" s="106" customFormat="1" ht="15.75">
      <c r="A76" s="52" t="s">
        <v>233</v>
      </c>
      <c r="B76" s="105" t="s">
        <v>285</v>
      </c>
      <c r="C76" s="102">
        <v>8</v>
      </c>
      <c r="D76" s="102">
        <v>6.1</v>
      </c>
      <c r="E76" s="102">
        <f t="shared" si="12"/>
        <v>-1.9000000000000004</v>
      </c>
      <c r="F76" s="102">
        <f t="shared" si="11"/>
        <v>76.25</v>
      </c>
      <c r="G76" s="295"/>
      <c r="H76"/>
      <c r="I76"/>
    </row>
    <row r="77" spans="1:9" s="106" customFormat="1" ht="15.75">
      <c r="A77" s="52" t="s">
        <v>249</v>
      </c>
      <c r="B77" s="105" t="s">
        <v>286</v>
      </c>
      <c r="C77" s="102">
        <v>4.8</v>
      </c>
      <c r="D77" s="102">
        <f>4.6</f>
        <v>4.5999999999999996</v>
      </c>
      <c r="E77" s="102">
        <f t="shared" si="12"/>
        <v>-0.20000000000000018</v>
      </c>
      <c r="F77" s="102">
        <f t="shared" si="11"/>
        <v>95.833333333333329</v>
      </c>
      <c r="G77" s="32"/>
      <c r="H77"/>
      <c r="I77"/>
    </row>
    <row r="78" spans="1:9" s="106" customFormat="1" ht="15.75">
      <c r="A78" s="52" t="s">
        <v>250</v>
      </c>
      <c r="B78" s="105" t="s">
        <v>287</v>
      </c>
      <c r="C78" s="102">
        <v>10.899999999999999</v>
      </c>
      <c r="D78" s="102">
        <v>10.3</v>
      </c>
      <c r="E78" s="102">
        <f t="shared" si="12"/>
        <v>-0.59999999999999787</v>
      </c>
      <c r="F78" s="102">
        <v>0</v>
      </c>
      <c r="G78" s="32"/>
      <c r="H78"/>
      <c r="I78"/>
    </row>
    <row r="79" spans="1:9" s="106" customFormat="1">
      <c r="A79" s="52" t="s">
        <v>140</v>
      </c>
      <c r="B79" s="105" t="s">
        <v>288</v>
      </c>
      <c r="C79" s="102">
        <v>8.8000000000000007</v>
      </c>
      <c r="D79" s="102">
        <v>12.2</v>
      </c>
      <c r="E79" s="102">
        <f t="shared" si="12"/>
        <v>3.3999999999999986</v>
      </c>
      <c r="F79" s="102">
        <f t="shared" si="11"/>
        <v>138.63636363636363</v>
      </c>
      <c r="G79" s="31"/>
      <c r="H79"/>
      <c r="I79"/>
    </row>
    <row r="80" spans="1:9" ht="25.5" customHeight="1">
      <c r="A80" s="49" t="s">
        <v>238</v>
      </c>
      <c r="B80" s="55">
        <v>1120</v>
      </c>
      <c r="C80" s="50">
        <v>77.800000000000011</v>
      </c>
      <c r="D80" s="50">
        <f>D81+D82+D83+D84+D85</f>
        <v>64.899999999999991</v>
      </c>
      <c r="E80" s="297">
        <f t="shared" ref="E80" si="13">D80-C80</f>
        <v>-12.90000000000002</v>
      </c>
      <c r="F80" s="297">
        <f t="shared" ref="F80" si="14">D80/C80*100</f>
        <v>83.419023136246764</v>
      </c>
      <c r="G80" s="32"/>
      <c r="H80"/>
      <c r="I80"/>
    </row>
    <row r="81" spans="1:9" s="103" customFormat="1" ht="15.75">
      <c r="A81" s="33" t="s">
        <v>53</v>
      </c>
      <c r="B81" s="47">
        <v>1121</v>
      </c>
      <c r="C81" s="44"/>
      <c r="D81" s="288"/>
      <c r="E81" s="44"/>
      <c r="F81" s="44"/>
      <c r="G81" s="32"/>
      <c r="H81"/>
      <c r="I81"/>
    </row>
    <row r="82" spans="1:9" s="103" customFormat="1" ht="15.75">
      <c r="A82" s="33" t="s">
        <v>34</v>
      </c>
      <c r="B82" s="47">
        <v>1122</v>
      </c>
      <c r="C82" s="44"/>
      <c r="D82" s="288"/>
      <c r="E82" s="44"/>
      <c r="F82" s="44"/>
      <c r="G82" s="32"/>
      <c r="H82"/>
      <c r="I82"/>
    </row>
    <row r="83" spans="1:9" s="103" customFormat="1" ht="19.5" customHeight="1">
      <c r="A83" s="33" t="s">
        <v>44</v>
      </c>
      <c r="B83" s="47">
        <v>1123</v>
      </c>
      <c r="C83" s="44"/>
      <c r="D83" s="288"/>
      <c r="E83" s="44"/>
      <c r="F83" s="44"/>
      <c r="G83" s="32"/>
      <c r="H83"/>
      <c r="I83"/>
    </row>
    <row r="84" spans="1:9" s="103" customFormat="1" ht="17.25" customHeight="1">
      <c r="A84" s="33" t="s">
        <v>150</v>
      </c>
      <c r="B84" s="47">
        <v>1124</v>
      </c>
      <c r="C84" s="44"/>
      <c r="D84" s="288"/>
      <c r="E84" s="44"/>
      <c r="F84" s="44"/>
      <c r="G84" s="32"/>
      <c r="H84"/>
      <c r="I84"/>
    </row>
    <row r="85" spans="1:9" s="103" customFormat="1" ht="24" customHeight="1">
      <c r="A85" s="33" t="s">
        <v>242</v>
      </c>
      <c r="B85" s="47">
        <v>1125</v>
      </c>
      <c r="C85" s="278">
        <v>77.800000000000011</v>
      </c>
      <c r="D85" s="342">
        <f>D86+D87+D88+D89+D90</f>
        <v>64.899999999999991</v>
      </c>
      <c r="E85" s="44">
        <f t="shared" si="12"/>
        <v>-12.90000000000002</v>
      </c>
      <c r="F85" s="44">
        <f t="shared" si="11"/>
        <v>83.419023136246764</v>
      </c>
      <c r="G85" s="32"/>
      <c r="H85"/>
      <c r="I85"/>
    </row>
    <row r="86" spans="1:9" s="106" customFormat="1" ht="17.25" customHeight="1">
      <c r="A86" s="52" t="s">
        <v>417</v>
      </c>
      <c r="B86" s="107"/>
      <c r="C86" s="102">
        <v>0.4</v>
      </c>
      <c r="D86" s="102">
        <v>0</v>
      </c>
      <c r="E86" s="102">
        <f t="shared" si="12"/>
        <v>-0.4</v>
      </c>
      <c r="F86" s="102">
        <f t="shared" si="11"/>
        <v>0</v>
      </c>
      <c r="G86" s="32"/>
      <c r="H86"/>
      <c r="I86"/>
    </row>
    <row r="87" spans="1:9" s="106" customFormat="1" ht="19.5" customHeight="1">
      <c r="A87" s="279" t="s">
        <v>418</v>
      </c>
      <c r="B87" s="107"/>
      <c r="C87" s="102">
        <v>72</v>
      </c>
      <c r="D87" s="102">
        <v>64.099999999999994</v>
      </c>
      <c r="E87" s="102">
        <f t="shared" si="12"/>
        <v>-7.9000000000000057</v>
      </c>
      <c r="F87" s="102">
        <f t="shared" si="11"/>
        <v>89.027777777777771</v>
      </c>
      <c r="G87" s="102"/>
      <c r="H87"/>
      <c r="I87"/>
    </row>
    <row r="88" spans="1:9" s="106" customFormat="1" ht="20.25" customHeight="1">
      <c r="A88" s="52" t="s">
        <v>419</v>
      </c>
      <c r="B88" s="107"/>
      <c r="C88" s="102">
        <v>1.2</v>
      </c>
      <c r="D88" s="102">
        <v>0.8</v>
      </c>
      <c r="E88" s="102">
        <f t="shared" ref="E88:E89" si="15">D88-C88</f>
        <v>-0.39999999999999991</v>
      </c>
      <c r="F88" s="102">
        <f t="shared" ref="F88" si="16">D88/C88*100</f>
        <v>66.666666666666671</v>
      </c>
      <c r="G88" s="102"/>
      <c r="H88"/>
      <c r="I88"/>
    </row>
    <row r="89" spans="1:9" s="106" customFormat="1" ht="20.25" customHeight="1">
      <c r="A89" s="52" t="s">
        <v>420</v>
      </c>
      <c r="B89" s="107"/>
      <c r="C89" s="102">
        <v>0</v>
      </c>
      <c r="D89" s="233">
        <v>0</v>
      </c>
      <c r="E89" s="233">
        <f t="shared" si="15"/>
        <v>0</v>
      </c>
      <c r="F89" s="233">
        <v>0</v>
      </c>
      <c r="G89" s="102"/>
      <c r="H89"/>
      <c r="I89"/>
    </row>
    <row r="90" spans="1:9" s="106" customFormat="1" ht="20.25" customHeight="1">
      <c r="A90" s="52" t="s">
        <v>421</v>
      </c>
      <c r="B90" s="107"/>
      <c r="C90" s="102">
        <v>4.2</v>
      </c>
      <c r="D90" s="102">
        <v>0</v>
      </c>
      <c r="E90" s="102">
        <f t="shared" ref="E90" si="17">D90-C90</f>
        <v>-4.2</v>
      </c>
      <c r="F90" s="102">
        <f t="shared" ref="F90" si="18">D90/C90*100</f>
        <v>0</v>
      </c>
      <c r="G90" s="102"/>
      <c r="H90"/>
      <c r="I90"/>
    </row>
    <row r="91" spans="1:9" ht="45.75" customHeight="1">
      <c r="A91" s="38" t="s">
        <v>214</v>
      </c>
      <c r="B91" s="58">
        <v>1130</v>
      </c>
      <c r="C91" s="60">
        <v>27.999999999999261</v>
      </c>
      <c r="D91" s="60">
        <f>D29+D30-D31-D63-D80</f>
        <v>69.800000000000963</v>
      </c>
      <c r="E91" s="60">
        <f t="shared" si="12"/>
        <v>41.800000000001702</v>
      </c>
      <c r="F91" s="60">
        <f t="shared" si="11"/>
        <v>249.28571428572434</v>
      </c>
      <c r="G91" s="268" t="s">
        <v>416</v>
      </c>
      <c r="H91"/>
      <c r="I91"/>
    </row>
    <row r="92" spans="1:9" ht="21" customHeight="1">
      <c r="A92" s="49" t="s">
        <v>79</v>
      </c>
      <c r="B92" s="55">
        <v>1140</v>
      </c>
      <c r="C92" s="56"/>
      <c r="D92" s="50"/>
      <c r="E92" s="50"/>
      <c r="F92" s="50"/>
      <c r="G92" s="50"/>
      <c r="H92"/>
      <c r="I92"/>
    </row>
    <row r="93" spans="1:9" ht="23.25" customHeight="1">
      <c r="A93" s="49" t="s">
        <v>80</v>
      </c>
      <c r="B93" s="55">
        <v>1150</v>
      </c>
      <c r="C93" s="50"/>
      <c r="D93" s="50"/>
      <c r="E93" s="296"/>
      <c r="F93" s="50"/>
      <c r="G93" s="50"/>
      <c r="H93"/>
      <c r="I93"/>
    </row>
    <row r="94" spans="1:9" ht="20.25" customHeight="1">
      <c r="A94" s="276" t="s">
        <v>151</v>
      </c>
      <c r="B94" s="55">
        <v>1160</v>
      </c>
      <c r="C94" s="56"/>
      <c r="D94" s="50"/>
      <c r="E94" s="229">
        <f t="shared" si="12"/>
        <v>0</v>
      </c>
      <c r="F94" s="229" t="e">
        <f t="shared" si="11"/>
        <v>#DIV/0!</v>
      </c>
      <c r="G94" s="50"/>
      <c r="H94"/>
      <c r="I94"/>
    </row>
    <row r="95" spans="1:9" s="103" customFormat="1" ht="21.75" customHeight="1">
      <c r="A95" s="33" t="s">
        <v>152</v>
      </c>
      <c r="B95" s="47">
        <v>1170</v>
      </c>
      <c r="C95" s="288"/>
      <c r="D95" s="288"/>
      <c r="E95" s="230">
        <f t="shared" si="12"/>
        <v>0</v>
      </c>
      <c r="F95" s="230" t="e">
        <f t="shared" si="11"/>
        <v>#DIV/0!</v>
      </c>
      <c r="G95" s="44"/>
      <c r="H95"/>
      <c r="I95"/>
    </row>
    <row r="96" spans="1:9" ht="39.75" customHeight="1">
      <c r="A96" s="275" t="s">
        <v>215</v>
      </c>
      <c r="B96" s="57">
        <v>1200</v>
      </c>
      <c r="C96" s="72">
        <v>27.999999999999261</v>
      </c>
      <c r="D96" s="72">
        <f t="shared" ref="C96:D96" si="19">D91+D92+D94-D93-D95</f>
        <v>69.800000000000963</v>
      </c>
      <c r="E96" s="72">
        <f t="shared" si="12"/>
        <v>41.800000000001702</v>
      </c>
      <c r="F96" s="72">
        <f t="shared" si="11"/>
        <v>249.28571428572434</v>
      </c>
      <c r="G96" s="72"/>
      <c r="H96"/>
      <c r="I96"/>
    </row>
    <row r="97" spans="1:14" s="103" customFormat="1" ht="24.75" customHeight="1">
      <c r="A97" s="4" t="s">
        <v>100</v>
      </c>
      <c r="B97" s="47">
        <v>1210</v>
      </c>
      <c r="C97" s="289">
        <v>5</v>
      </c>
      <c r="D97" s="289">
        <f>D96*0.18</f>
        <v>12.564000000000172</v>
      </c>
      <c r="E97" s="289">
        <f t="shared" si="12"/>
        <v>7.5640000000001724</v>
      </c>
      <c r="F97" s="94">
        <f>D97/C97*100</f>
        <v>251.28000000000347</v>
      </c>
      <c r="G97" s="94"/>
      <c r="H97"/>
      <c r="I97"/>
    </row>
    <row r="98" spans="1:14" s="103" customFormat="1" ht="35.25" customHeight="1">
      <c r="A98" s="256" t="s">
        <v>101</v>
      </c>
      <c r="B98" s="47">
        <v>1220</v>
      </c>
      <c r="C98" s="288"/>
      <c r="D98" s="288"/>
      <c r="E98" s="288"/>
      <c r="F98" s="44"/>
      <c r="G98" s="44"/>
      <c r="H98"/>
      <c r="I98"/>
    </row>
    <row r="99" spans="1:14" ht="37.5">
      <c r="A99" s="38" t="s">
        <v>217</v>
      </c>
      <c r="B99" s="57">
        <v>1230</v>
      </c>
      <c r="C99" s="72">
        <v>22.999999999999261</v>
      </c>
      <c r="D99" s="72">
        <f t="shared" ref="D99" si="20">D96-D97</f>
        <v>57.236000000000793</v>
      </c>
      <c r="E99" s="72">
        <f t="shared" ref="E99" si="21">D99-C99</f>
        <v>34.236000000001532</v>
      </c>
      <c r="F99" s="72">
        <f>D99/C99*100</f>
        <v>248.85217391305491</v>
      </c>
      <c r="G99" s="72"/>
      <c r="H99"/>
      <c r="I99"/>
    </row>
    <row r="100" spans="1:14" ht="37.5" customHeight="1">
      <c r="A100" s="113" t="s">
        <v>181</v>
      </c>
      <c r="B100" s="114"/>
      <c r="C100" s="114"/>
      <c r="D100" s="114"/>
      <c r="E100" s="114"/>
      <c r="F100" s="114"/>
      <c r="G100" s="115"/>
      <c r="H100"/>
      <c r="I100"/>
    </row>
    <row r="101" spans="1:14" s="103" customFormat="1" ht="39" customHeight="1">
      <c r="A101" s="4" t="s">
        <v>6</v>
      </c>
      <c r="B101" s="47">
        <v>1240</v>
      </c>
      <c r="C101" s="289">
        <v>21846.399999999998</v>
      </c>
      <c r="D101" s="289">
        <f>D13+D30+D92+D94</f>
        <v>25679</v>
      </c>
      <c r="E101" s="289">
        <f t="shared" ref="E101:E102" si="22">D101-C101</f>
        <v>3832.6000000000022</v>
      </c>
      <c r="F101" s="228">
        <f>D101/C101*100</f>
        <v>117.5433938772521</v>
      </c>
      <c r="G101" s="125" t="s">
        <v>416</v>
      </c>
      <c r="H101" s="232"/>
      <c r="I101"/>
    </row>
    <row r="102" spans="1:14" s="103" customFormat="1" ht="31.5" customHeight="1">
      <c r="A102" s="4" t="s">
        <v>84</v>
      </c>
      <c r="B102" s="47">
        <v>1250</v>
      </c>
      <c r="C102" s="289">
        <v>21823.399999999998</v>
      </c>
      <c r="D102" s="289">
        <f>D14+D31+D63+D80+D93+D95+D97</f>
        <v>25621.763999999999</v>
      </c>
      <c r="E102" s="289">
        <f t="shared" si="22"/>
        <v>3798.3640000000014</v>
      </c>
      <c r="F102" s="94">
        <f>D102/C102*100</f>
        <v>117.40500563615204</v>
      </c>
      <c r="G102" s="125" t="s">
        <v>459</v>
      </c>
      <c r="H102" s="232"/>
      <c r="I102"/>
    </row>
    <row r="103" spans="1:14" ht="24.75" customHeight="1">
      <c r="A103" s="113" t="s">
        <v>159</v>
      </c>
      <c r="B103" s="114"/>
      <c r="C103" s="114"/>
      <c r="D103" s="114"/>
      <c r="E103" s="114"/>
      <c r="F103" s="114"/>
      <c r="G103" s="115"/>
      <c r="H103" s="305"/>
      <c r="I103" s="305"/>
    </row>
    <row r="104" spans="1:14" ht="19.5" customHeight="1">
      <c r="A104" s="4" t="s">
        <v>182</v>
      </c>
      <c r="B104" s="59">
        <v>1260</v>
      </c>
      <c r="C104" s="41">
        <v>5598.9</v>
      </c>
      <c r="D104" s="292">
        <f>D105+D106</f>
        <v>9240.4</v>
      </c>
      <c r="E104" s="41">
        <f t="shared" ref="E104:E110" si="23">D104-C104</f>
        <v>3641.5</v>
      </c>
      <c r="F104" s="41">
        <f t="shared" ref="F104:F110" si="24">D104/C104*100</f>
        <v>165.03956134240653</v>
      </c>
      <c r="G104" s="155"/>
      <c r="M104" s="306">
        <f>2466-D104</f>
        <v>-6774.4</v>
      </c>
      <c r="N104" s="305"/>
    </row>
    <row r="105" spans="1:14" s="103" customFormat="1" ht="18.75" customHeight="1">
      <c r="A105" s="52" t="s">
        <v>180</v>
      </c>
      <c r="B105" s="59">
        <v>1261</v>
      </c>
      <c r="C105" s="104">
        <v>2453.7000000000003</v>
      </c>
      <c r="D105" s="102">
        <f>D15+D26+D56+D60+D73+D74</f>
        <v>5954.7</v>
      </c>
      <c r="E105" s="102">
        <f t="shared" si="23"/>
        <v>3500.9999999999995</v>
      </c>
      <c r="F105" s="102">
        <f t="shared" si="24"/>
        <v>242.68247952072377</v>
      </c>
      <c r="G105" s="252"/>
      <c r="M105" s="307">
        <f>D15+D26+D54+D56+D60+D73+D74-6.9</f>
        <v>5948.2</v>
      </c>
      <c r="N105" s="308">
        <f>D15+D26+D60+D73+D74+D56+11.7</f>
        <v>5966.4</v>
      </c>
    </row>
    <row r="106" spans="1:14" s="103" customFormat="1" ht="19.5" customHeight="1">
      <c r="A106" s="52" t="s">
        <v>11</v>
      </c>
      <c r="B106" s="59">
        <v>1262</v>
      </c>
      <c r="C106" s="104">
        <v>3145.2</v>
      </c>
      <c r="D106" s="102">
        <f>D16+D17+D55+D72+74.5+D27+D54+D71</f>
        <v>3285.7000000000003</v>
      </c>
      <c r="E106" s="102">
        <f t="shared" si="23"/>
        <v>140.50000000000045</v>
      </c>
      <c r="F106" s="102">
        <f t="shared" si="24"/>
        <v>104.46712450718556</v>
      </c>
      <c r="G106" s="252"/>
      <c r="M106" s="307">
        <f>D16+D17+D55+D72</f>
        <v>3178.4</v>
      </c>
      <c r="N106" s="308">
        <f>D16+D17+D55+D27+D71+D72+35.2</f>
        <v>3246</v>
      </c>
    </row>
    <row r="107" spans="1:14" s="103" customFormat="1" ht="32.25" customHeight="1">
      <c r="A107" s="4" t="s">
        <v>2</v>
      </c>
      <c r="B107" s="59">
        <v>1270</v>
      </c>
      <c r="C107" s="41">
        <v>11189.5</v>
      </c>
      <c r="D107" s="289">
        <f>D18+D39+D66+'5. Інша інформація'!I63</f>
        <v>11702</v>
      </c>
      <c r="E107" s="289">
        <f>D107-C107</f>
        <v>512.5</v>
      </c>
      <c r="F107" s="94">
        <f t="shared" si="24"/>
        <v>104.58018678225123</v>
      </c>
      <c r="G107" s="385" t="s">
        <v>457</v>
      </c>
      <c r="M107" s="309"/>
      <c r="N107" s="305"/>
    </row>
    <row r="108" spans="1:14" s="103" customFormat="1" ht="42.75" customHeight="1">
      <c r="A108" s="4" t="s">
        <v>3</v>
      </c>
      <c r="B108" s="59">
        <v>1280</v>
      </c>
      <c r="C108" s="41">
        <v>2461.6000000000004</v>
      </c>
      <c r="D108" s="289">
        <f>D19+D40+D67+'5. Інша інформація'!J63</f>
        <v>2438</v>
      </c>
      <c r="E108" s="289">
        <f>D108-C108</f>
        <v>-23.600000000000364</v>
      </c>
      <c r="F108" s="94">
        <f t="shared" si="24"/>
        <v>99.041273968150776</v>
      </c>
      <c r="G108" s="386"/>
      <c r="M108" s="309"/>
      <c r="N108" s="305"/>
    </row>
    <row r="109" spans="1:14" s="103" customFormat="1">
      <c r="A109" s="4" t="s">
        <v>4</v>
      </c>
      <c r="B109" s="59">
        <v>1290</v>
      </c>
      <c r="C109" s="41">
        <v>316.8</v>
      </c>
      <c r="D109" s="289">
        <f>D21+D41+D68+'5. Інша інформація'!K63</f>
        <v>260</v>
      </c>
      <c r="E109" s="349">
        <f t="shared" ref="E109:E110" si="25">D109-C109</f>
        <v>-56.800000000000011</v>
      </c>
      <c r="F109" s="94">
        <f t="shared" si="24"/>
        <v>82.070707070707073</v>
      </c>
      <c r="G109" s="252"/>
      <c r="M109" s="310">
        <v>197</v>
      </c>
      <c r="N109" s="305"/>
    </row>
    <row r="110" spans="1:14" s="103" customFormat="1">
      <c r="A110" s="4" t="s">
        <v>12</v>
      </c>
      <c r="B110" s="59">
        <v>1300</v>
      </c>
      <c r="C110" s="41">
        <v>2251.6</v>
      </c>
      <c r="D110" s="251">
        <f>D23+D24+D25+D28+D35+D36+D38+D42+D43+D44+D45+D46+D47+D48+D49+D50+D51+D57+D58+D59+D61+D75+D76+D78+D79+D80+D62+D77+D20+D85</f>
        <v>1968.2</v>
      </c>
      <c r="E110" s="349">
        <f t="shared" si="25"/>
        <v>-283.39999999999986</v>
      </c>
      <c r="F110" s="94">
        <f t="shared" si="24"/>
        <v>87.413394919168596</v>
      </c>
      <c r="G110" s="352"/>
      <c r="M110" s="311">
        <f>D23+D24+D25+D27+D28+D36+D38+D42+D43+D44+D45+D46+D47+D48+D49+D50+D51+D54+D57+D58+D59+D61+D71+D75+D76+D77+D78+D79+D80+6.9+35.2</f>
        <v>1813.2000000000003</v>
      </c>
      <c r="N110" s="308">
        <f>D23+D24+D25+D38+D43+D57+D58+D59+D75+D78+D80+D28+D36+D61+D79+D51+D76+D77</f>
        <v>1738.3</v>
      </c>
    </row>
    <row r="111" spans="1:14" ht="20.25">
      <c r="A111" s="70" t="s">
        <v>40</v>
      </c>
      <c r="B111" s="74">
        <v>1310</v>
      </c>
      <c r="C111" s="73">
        <v>21818.399999999998</v>
      </c>
      <c r="D111" s="73">
        <f>D104+D107+D108+D109+D110</f>
        <v>25608.600000000002</v>
      </c>
      <c r="E111" s="61">
        <f t="shared" ref="E111" si="26">D111-C111</f>
        <v>3790.2000000000044</v>
      </c>
      <c r="F111" s="73">
        <f t="shared" ref="F111" si="27">D111/C111*100</f>
        <v>117.37157628423718</v>
      </c>
      <c r="G111" s="155"/>
      <c r="M111" s="312">
        <f>784-D110</f>
        <v>-1184.2</v>
      </c>
      <c r="N111" s="313">
        <v>4041.2</v>
      </c>
    </row>
    <row r="112" spans="1:14" ht="56.25" customHeight="1">
      <c r="A112" s="257" t="s">
        <v>310</v>
      </c>
      <c r="B112" s="1"/>
      <c r="C112" s="258"/>
      <c r="D112" s="258"/>
      <c r="E112" s="1"/>
      <c r="F112" s="374" t="s">
        <v>271</v>
      </c>
      <c r="G112" s="374"/>
      <c r="M112" s="311">
        <f>N111-D111</f>
        <v>-21567.4</v>
      </c>
      <c r="N112" s="311"/>
    </row>
    <row r="113" spans="1:9" s="103" customFormat="1" ht="12.75">
      <c r="A113" s="109" t="s">
        <v>164</v>
      </c>
      <c r="B113" s="110"/>
      <c r="C113" s="372"/>
      <c r="D113" s="372"/>
      <c r="E113" s="372"/>
      <c r="F113" s="116" t="s">
        <v>74</v>
      </c>
      <c r="G113" s="116"/>
      <c r="H113"/>
      <c r="I113"/>
    </row>
    <row r="114" spans="1:9">
      <c r="A114" s="14"/>
      <c r="C114" s="90"/>
      <c r="D114" s="284"/>
      <c r="E114" s="15"/>
      <c r="F114" s="15"/>
      <c r="G114" s="15"/>
      <c r="H114"/>
      <c r="I114"/>
    </row>
    <row r="115" spans="1:9">
      <c r="A115" s="14"/>
      <c r="C115" s="90"/>
      <c r="D115" s="284"/>
      <c r="E115" s="15"/>
      <c r="F115" s="15"/>
      <c r="G115" s="15"/>
      <c r="H115"/>
      <c r="I115"/>
    </row>
    <row r="116" spans="1:9">
      <c r="A116" s="14"/>
      <c r="C116" s="90"/>
      <c r="D116" s="284"/>
      <c r="E116" s="15"/>
      <c r="F116" s="15"/>
      <c r="G116" s="15"/>
      <c r="H116" s="15"/>
      <c r="I116" s="15"/>
    </row>
    <row r="117" spans="1:9">
      <c r="A117" s="14"/>
      <c r="C117" s="90"/>
      <c r="D117" s="284"/>
      <c r="E117" s="15"/>
      <c r="F117" s="15"/>
      <c r="G117" s="15"/>
      <c r="H117" s="15"/>
      <c r="I117" s="15"/>
    </row>
    <row r="118" spans="1:9">
      <c r="A118" s="14"/>
      <c r="C118" s="90"/>
      <c r="D118" s="284"/>
      <c r="E118" s="15"/>
      <c r="F118" s="15"/>
      <c r="G118" s="15"/>
      <c r="H118" s="15"/>
      <c r="I118" s="15"/>
    </row>
    <row r="119" spans="1:9">
      <c r="A119" s="14"/>
      <c r="C119" s="90"/>
      <c r="D119" s="284"/>
      <c r="E119" s="15"/>
      <c r="F119" s="15"/>
      <c r="G119" s="15"/>
      <c r="H119" s="15"/>
      <c r="I119" s="15"/>
    </row>
    <row r="120" spans="1:9">
      <c r="A120" s="14"/>
      <c r="C120" s="90"/>
      <c r="D120" s="284"/>
      <c r="E120" s="15"/>
      <c r="F120" s="15"/>
      <c r="G120" s="15"/>
      <c r="H120" s="15"/>
      <c r="I120" s="15"/>
    </row>
    <row r="121" spans="1:9">
      <c r="A121" s="14"/>
      <c r="C121" s="90"/>
      <c r="D121" s="284"/>
      <c r="E121" s="15"/>
      <c r="F121" s="15"/>
      <c r="G121" s="15"/>
      <c r="H121" s="15"/>
      <c r="I121" s="15"/>
    </row>
    <row r="122" spans="1:9">
      <c r="A122" s="14"/>
      <c r="C122" s="90"/>
      <c r="D122" s="284"/>
      <c r="E122" s="15"/>
      <c r="F122" s="15"/>
      <c r="G122" s="15"/>
      <c r="H122" s="15"/>
      <c r="I122" s="15"/>
    </row>
    <row r="123" spans="1:9">
      <c r="A123" s="14"/>
      <c r="C123" s="90"/>
      <c r="D123" s="284"/>
      <c r="E123" s="15"/>
      <c r="F123" s="15"/>
      <c r="G123" s="15"/>
      <c r="H123" s="15"/>
      <c r="I123" s="15"/>
    </row>
    <row r="124" spans="1:9">
      <c r="A124" s="14"/>
      <c r="C124" s="90"/>
      <c r="D124" s="284"/>
      <c r="E124" s="15"/>
      <c r="F124" s="15"/>
      <c r="G124" s="15"/>
      <c r="H124" s="15"/>
      <c r="I124" s="15"/>
    </row>
    <row r="125" spans="1:9">
      <c r="A125" s="14"/>
      <c r="C125" s="90"/>
      <c r="D125" s="284"/>
      <c r="E125" s="15"/>
      <c r="F125" s="15"/>
      <c r="G125" s="15"/>
      <c r="H125" s="15"/>
      <c r="I125" s="15"/>
    </row>
    <row r="126" spans="1:9">
      <c r="A126" s="14"/>
      <c r="C126" s="90"/>
      <c r="D126" s="284"/>
      <c r="E126" s="15"/>
      <c r="F126" s="15"/>
      <c r="G126" s="15"/>
      <c r="H126" s="15"/>
      <c r="I126" s="15"/>
    </row>
    <row r="127" spans="1:9">
      <c r="A127" s="14"/>
      <c r="C127" s="90"/>
      <c r="D127" s="284"/>
      <c r="E127" s="15"/>
      <c r="F127" s="15"/>
      <c r="G127" s="15"/>
      <c r="H127" s="15"/>
      <c r="I127" s="15"/>
    </row>
    <row r="128" spans="1:9">
      <c r="A128" s="14"/>
      <c r="C128" s="90"/>
      <c r="D128" s="284"/>
      <c r="E128" s="15"/>
      <c r="F128" s="15"/>
      <c r="G128" s="15"/>
      <c r="H128" s="15"/>
      <c r="I128" s="15"/>
    </row>
    <row r="129" spans="1:9">
      <c r="A129" s="14"/>
      <c r="C129" s="90"/>
      <c r="D129" s="284"/>
      <c r="E129" s="15"/>
      <c r="F129" s="15"/>
      <c r="G129" s="15"/>
      <c r="H129" s="15"/>
      <c r="I129" s="15"/>
    </row>
    <row r="130" spans="1:9">
      <c r="A130" s="14"/>
      <c r="C130" s="90"/>
      <c r="D130" s="284"/>
      <c r="E130" s="15"/>
      <c r="F130" s="15"/>
      <c r="G130" s="15"/>
      <c r="H130" s="15"/>
      <c r="I130" s="15"/>
    </row>
    <row r="131" spans="1:9">
      <c r="A131" s="14"/>
      <c r="C131" s="90"/>
      <c r="D131" s="284"/>
      <c r="E131" s="15"/>
      <c r="F131" s="15"/>
      <c r="G131" s="15"/>
      <c r="H131" s="15"/>
      <c r="I131" s="15"/>
    </row>
    <row r="132" spans="1:9">
      <c r="A132" s="14"/>
      <c r="C132" s="90"/>
      <c r="D132" s="284"/>
      <c r="E132" s="15"/>
      <c r="F132" s="15"/>
      <c r="G132" s="15"/>
      <c r="H132" s="15"/>
      <c r="I132" s="15"/>
    </row>
    <row r="133" spans="1:9">
      <c r="A133" s="14"/>
      <c r="C133" s="90"/>
      <c r="D133" s="284"/>
      <c r="E133" s="15"/>
      <c r="F133" s="15"/>
      <c r="G133" s="15"/>
      <c r="H133" s="15"/>
      <c r="I133" s="15"/>
    </row>
    <row r="134" spans="1:9">
      <c r="A134" s="14"/>
      <c r="C134" s="90"/>
      <c r="D134" s="284"/>
      <c r="E134" s="15"/>
      <c r="F134" s="15"/>
      <c r="G134" s="15"/>
      <c r="H134" s="15"/>
      <c r="I134" s="15"/>
    </row>
    <row r="135" spans="1:9">
      <c r="A135" s="14"/>
      <c r="C135" s="90"/>
      <c r="D135" s="284"/>
      <c r="E135" s="15"/>
      <c r="F135" s="15"/>
      <c r="G135" s="15"/>
      <c r="H135" s="15"/>
      <c r="I135" s="15"/>
    </row>
    <row r="136" spans="1:9">
      <c r="A136" s="14"/>
      <c r="C136" s="90"/>
      <c r="D136" s="284"/>
      <c r="E136" s="15"/>
      <c r="F136" s="15"/>
      <c r="G136" s="15"/>
      <c r="H136" s="15"/>
      <c r="I136" s="15"/>
    </row>
    <row r="137" spans="1:9">
      <c r="A137" s="14"/>
      <c r="C137" s="90"/>
      <c r="D137" s="284"/>
      <c r="E137" s="15"/>
      <c r="F137" s="15"/>
      <c r="G137" s="15"/>
      <c r="H137" s="15"/>
      <c r="I137" s="15"/>
    </row>
    <row r="138" spans="1:9">
      <c r="A138" s="14"/>
      <c r="C138" s="90"/>
      <c r="D138" s="284"/>
      <c r="E138" s="15"/>
      <c r="F138" s="15"/>
      <c r="G138" s="15"/>
      <c r="H138" s="15"/>
      <c r="I138" s="15"/>
    </row>
    <row r="139" spans="1:9">
      <c r="A139" s="14"/>
      <c r="C139" s="90"/>
      <c r="D139" s="284"/>
      <c r="E139" s="15"/>
      <c r="F139" s="15"/>
      <c r="G139" s="15"/>
      <c r="H139" s="15"/>
      <c r="I139" s="15"/>
    </row>
    <row r="140" spans="1:9">
      <c r="A140" s="14"/>
      <c r="C140" s="90"/>
      <c r="D140" s="284"/>
      <c r="E140" s="15"/>
      <c r="F140" s="15"/>
      <c r="G140" s="15"/>
      <c r="H140" s="15"/>
      <c r="I140" s="15"/>
    </row>
    <row r="141" spans="1:9">
      <c r="A141" s="14"/>
      <c r="C141" s="90"/>
      <c r="D141" s="284"/>
      <c r="E141" s="15"/>
      <c r="F141" s="15"/>
      <c r="G141" s="15"/>
      <c r="H141" s="15"/>
      <c r="I141" s="15"/>
    </row>
    <row r="142" spans="1:9">
      <c r="A142" s="14"/>
      <c r="C142" s="90"/>
      <c r="D142" s="284"/>
      <c r="E142" s="15"/>
      <c r="F142" s="15"/>
      <c r="G142" s="15"/>
      <c r="H142" s="15"/>
      <c r="I142" s="15"/>
    </row>
    <row r="143" spans="1:9">
      <c r="A143" s="14"/>
      <c r="C143" s="90"/>
      <c r="D143" s="284"/>
      <c r="E143" s="15"/>
      <c r="F143" s="15"/>
      <c r="G143" s="15"/>
      <c r="H143" s="15"/>
      <c r="I143" s="15"/>
    </row>
    <row r="144" spans="1:9">
      <c r="A144" s="14"/>
      <c r="C144" s="90"/>
      <c r="D144" s="284"/>
      <c r="E144" s="15"/>
      <c r="F144" s="15"/>
      <c r="G144" s="15"/>
      <c r="H144" s="15"/>
      <c r="I144" s="15"/>
    </row>
    <row r="145" spans="1:9">
      <c r="A145" s="14"/>
      <c r="C145" s="90"/>
      <c r="D145" s="284"/>
      <c r="E145" s="15"/>
      <c r="F145" s="15"/>
      <c r="G145" s="15"/>
      <c r="H145" s="15"/>
      <c r="I145" s="15"/>
    </row>
    <row r="146" spans="1:9">
      <c r="A146" s="14"/>
      <c r="C146" s="90"/>
      <c r="D146" s="284"/>
      <c r="E146" s="15"/>
      <c r="F146" s="15"/>
      <c r="G146" s="15"/>
      <c r="H146" s="15"/>
      <c r="I146" s="15"/>
    </row>
    <row r="147" spans="1:9">
      <c r="A147" s="14"/>
      <c r="C147" s="90"/>
      <c r="D147" s="284"/>
      <c r="E147" s="15"/>
      <c r="F147" s="15"/>
      <c r="G147" s="15"/>
      <c r="H147" s="15"/>
      <c r="I147" s="15"/>
    </row>
    <row r="148" spans="1:9">
      <c r="A148" s="14"/>
      <c r="C148" s="90"/>
      <c r="D148" s="284"/>
      <c r="E148" s="15"/>
      <c r="F148" s="15"/>
      <c r="G148" s="15"/>
      <c r="H148" s="15"/>
      <c r="I148" s="15"/>
    </row>
    <row r="149" spans="1:9">
      <c r="A149" s="14"/>
      <c r="C149" s="90"/>
      <c r="D149" s="284"/>
      <c r="E149" s="15"/>
      <c r="F149" s="15"/>
      <c r="G149" s="15"/>
      <c r="H149" s="15"/>
      <c r="I149" s="15"/>
    </row>
    <row r="150" spans="1:9">
      <c r="A150" s="14"/>
      <c r="C150" s="90"/>
      <c r="D150" s="284"/>
      <c r="E150" s="15"/>
      <c r="F150" s="15"/>
      <c r="G150" s="15"/>
      <c r="H150" s="15"/>
      <c r="I150" s="15"/>
    </row>
    <row r="151" spans="1:9">
      <c r="A151" s="14"/>
      <c r="C151" s="90"/>
      <c r="D151" s="284"/>
      <c r="E151" s="15"/>
      <c r="F151" s="15"/>
      <c r="G151" s="15"/>
      <c r="H151" s="15"/>
      <c r="I151" s="15"/>
    </row>
    <row r="152" spans="1:9">
      <c r="A152" s="14"/>
      <c r="C152" s="90"/>
      <c r="D152" s="284"/>
      <c r="E152" s="15"/>
      <c r="F152" s="15"/>
      <c r="G152" s="15"/>
      <c r="H152" s="15"/>
      <c r="I152" s="15"/>
    </row>
    <row r="153" spans="1:9">
      <c r="A153" s="14"/>
      <c r="C153" s="90"/>
      <c r="D153" s="284"/>
      <c r="E153" s="15"/>
      <c r="F153" s="15"/>
      <c r="G153" s="15"/>
      <c r="H153" s="15"/>
      <c r="I153" s="15"/>
    </row>
    <row r="154" spans="1:9">
      <c r="A154" s="14"/>
      <c r="C154" s="90"/>
      <c r="D154" s="284"/>
      <c r="E154" s="15"/>
      <c r="F154" s="15"/>
      <c r="G154" s="15"/>
      <c r="H154" s="15"/>
      <c r="I154" s="15"/>
    </row>
    <row r="155" spans="1:9">
      <c r="A155" s="14"/>
      <c r="C155" s="90"/>
      <c r="D155" s="284"/>
      <c r="E155" s="15"/>
      <c r="F155" s="15"/>
      <c r="G155" s="15"/>
      <c r="H155" s="15"/>
      <c r="I155" s="15"/>
    </row>
    <row r="156" spans="1:9">
      <c r="A156" s="14"/>
      <c r="C156" s="90"/>
      <c r="D156" s="284"/>
      <c r="E156" s="15"/>
      <c r="F156" s="15"/>
      <c r="G156" s="15"/>
      <c r="H156" s="15"/>
      <c r="I156" s="15"/>
    </row>
    <row r="157" spans="1:9">
      <c r="A157" s="14"/>
      <c r="C157" s="90"/>
      <c r="D157" s="284"/>
      <c r="E157" s="15"/>
      <c r="F157" s="15"/>
      <c r="G157" s="15"/>
      <c r="H157" s="15"/>
      <c r="I157" s="15"/>
    </row>
    <row r="158" spans="1:9">
      <c r="A158" s="14"/>
      <c r="C158" s="90"/>
      <c r="D158" s="284"/>
      <c r="E158" s="15"/>
      <c r="F158" s="15"/>
      <c r="G158" s="15"/>
      <c r="H158" s="15"/>
      <c r="I158" s="15"/>
    </row>
    <row r="159" spans="1:9">
      <c r="A159" s="14"/>
      <c r="C159" s="90"/>
      <c r="D159" s="284"/>
      <c r="E159" s="15"/>
      <c r="F159" s="15"/>
      <c r="G159" s="15"/>
      <c r="H159" s="15"/>
      <c r="I159" s="15"/>
    </row>
    <row r="160" spans="1:9">
      <c r="A160" s="14"/>
      <c r="C160" s="90"/>
      <c r="D160" s="284"/>
      <c r="E160" s="15"/>
      <c r="F160" s="15"/>
      <c r="G160" s="15"/>
      <c r="H160" s="15"/>
      <c r="I160" s="15"/>
    </row>
    <row r="161" spans="1:9">
      <c r="A161" s="14"/>
      <c r="C161" s="90"/>
      <c r="D161" s="284"/>
      <c r="E161" s="15"/>
      <c r="F161" s="15"/>
      <c r="G161" s="15"/>
      <c r="H161" s="15"/>
      <c r="I161" s="15"/>
    </row>
    <row r="162" spans="1:9">
      <c r="A162" s="14"/>
      <c r="C162" s="90"/>
      <c r="D162" s="284"/>
      <c r="E162" s="15"/>
      <c r="F162" s="15"/>
      <c r="G162" s="15"/>
      <c r="H162" s="15"/>
      <c r="I162" s="15"/>
    </row>
    <row r="163" spans="1:9">
      <c r="A163" s="14"/>
      <c r="C163" s="90"/>
      <c r="D163" s="284"/>
      <c r="E163" s="15"/>
      <c r="F163" s="15"/>
      <c r="G163" s="15"/>
      <c r="H163" s="15"/>
      <c r="I163" s="15"/>
    </row>
    <row r="164" spans="1:9">
      <c r="A164" s="14"/>
      <c r="C164" s="90"/>
      <c r="D164" s="284"/>
      <c r="E164" s="15"/>
      <c r="F164" s="15"/>
      <c r="G164" s="15"/>
      <c r="H164" s="15"/>
      <c r="I164" s="15"/>
    </row>
    <row r="165" spans="1:9">
      <c r="A165" s="14"/>
      <c r="C165" s="90"/>
      <c r="D165" s="284"/>
      <c r="E165" s="15"/>
      <c r="F165" s="15"/>
      <c r="G165" s="15"/>
      <c r="H165" s="15"/>
      <c r="I165" s="15"/>
    </row>
    <row r="166" spans="1:9">
      <c r="A166" s="14"/>
      <c r="C166" s="90"/>
      <c r="D166" s="284"/>
      <c r="E166" s="15"/>
      <c r="F166" s="15"/>
      <c r="G166" s="15"/>
      <c r="H166" s="15"/>
      <c r="I166" s="15"/>
    </row>
    <row r="167" spans="1:9">
      <c r="A167" s="14"/>
      <c r="C167" s="90"/>
      <c r="D167" s="284"/>
      <c r="E167" s="15"/>
      <c r="F167" s="15"/>
      <c r="G167" s="15"/>
      <c r="H167" s="15"/>
      <c r="I167" s="15"/>
    </row>
    <row r="168" spans="1:9">
      <c r="A168" s="14"/>
      <c r="C168" s="90"/>
      <c r="D168" s="284"/>
      <c r="E168" s="15"/>
      <c r="F168" s="15"/>
      <c r="G168" s="15"/>
      <c r="H168" s="15"/>
      <c r="I168" s="15"/>
    </row>
    <row r="169" spans="1:9">
      <c r="A169" s="14"/>
      <c r="C169" s="90"/>
      <c r="D169" s="284"/>
      <c r="E169" s="15"/>
      <c r="F169" s="15"/>
      <c r="G169" s="15"/>
      <c r="H169" s="15"/>
      <c r="I169" s="15"/>
    </row>
    <row r="170" spans="1:9">
      <c r="A170" s="14"/>
      <c r="C170" s="90"/>
      <c r="D170" s="284"/>
      <c r="E170" s="15"/>
      <c r="F170" s="15"/>
      <c r="G170" s="15"/>
      <c r="H170" s="15"/>
      <c r="I170" s="15"/>
    </row>
    <row r="171" spans="1:9">
      <c r="A171" s="14"/>
      <c r="C171" s="90"/>
      <c r="D171" s="284"/>
      <c r="E171" s="15"/>
      <c r="F171" s="15"/>
      <c r="G171" s="15"/>
      <c r="H171" s="15"/>
      <c r="I171" s="15"/>
    </row>
    <row r="172" spans="1:9">
      <c r="A172" s="20"/>
    </row>
    <row r="173" spans="1:9">
      <c r="A173" s="20"/>
    </row>
    <row r="174" spans="1:9">
      <c r="A174" s="20"/>
    </row>
    <row r="175" spans="1:9">
      <c r="A175" s="20"/>
    </row>
    <row r="176" spans="1:9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</sheetData>
  <mergeCells count="13">
    <mergeCell ref="A1:G1"/>
    <mergeCell ref="C113:E113"/>
    <mergeCell ref="A6:G6"/>
    <mergeCell ref="F112:G112"/>
    <mergeCell ref="A3:A4"/>
    <mergeCell ref="B3:B4"/>
    <mergeCell ref="C3:F3"/>
    <mergeCell ref="G3:G4"/>
    <mergeCell ref="G18:G19"/>
    <mergeCell ref="G39:G40"/>
    <mergeCell ref="G51:G52"/>
    <mergeCell ref="G7:G9"/>
    <mergeCell ref="G107:G108"/>
  </mergeCells>
  <printOptions horizontalCentered="1"/>
  <pageMargins left="0.70866141732283472" right="0.70866141732283472" top="0.56000000000000005" bottom="0.47244094488188981" header="0.31496062992125984" footer="0.31496062992125984"/>
  <pageSetup paperSize="9" scale="59" orientation="portrait" r:id="rId1"/>
  <rowBreaks count="2" manualBreakCount="2">
    <brk id="44" max="6" man="1"/>
    <brk id="99" max="6" man="1"/>
  </rowBreaks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192"/>
  <sheetViews>
    <sheetView view="pageBreakPreview" topLeftCell="A34" zoomScale="60" workbookViewId="0">
      <selection activeCell="D26" sqref="D26"/>
    </sheetView>
  </sheetViews>
  <sheetFormatPr defaultRowHeight="18.75"/>
  <cols>
    <col min="1" max="1" width="48.7109375" style="18" customWidth="1"/>
    <col min="2" max="2" width="9.5703125" style="142" customWidth="1"/>
    <col min="3" max="3" width="10.5703125" style="18" customWidth="1"/>
    <col min="4" max="4" width="10.7109375" style="18" customWidth="1"/>
    <col min="5" max="6" width="14.140625" style="18" customWidth="1"/>
    <col min="7" max="7" width="25.28515625" style="18" customWidth="1"/>
  </cols>
  <sheetData>
    <row r="2" spans="1:7">
      <c r="A2" s="387" t="s">
        <v>435</v>
      </c>
      <c r="B2" s="387"/>
      <c r="C2" s="387"/>
      <c r="D2" s="387"/>
      <c r="E2" s="387"/>
      <c r="F2" s="387"/>
      <c r="G2" s="387"/>
    </row>
    <row r="3" spans="1:7" ht="11.25" customHeight="1">
      <c r="A3" s="17"/>
      <c r="B3" s="36"/>
      <c r="C3" s="17"/>
      <c r="D3" s="17"/>
      <c r="E3" s="17"/>
      <c r="F3" s="17"/>
      <c r="G3" s="17"/>
    </row>
    <row r="4" spans="1:7" ht="18.75" customHeight="1">
      <c r="A4" s="354" t="s">
        <v>169</v>
      </c>
      <c r="B4" s="388" t="s">
        <v>5</v>
      </c>
      <c r="C4" s="357" t="s">
        <v>307</v>
      </c>
      <c r="D4" s="358"/>
      <c r="E4" s="358"/>
      <c r="F4" s="358"/>
      <c r="G4" s="392" t="s">
        <v>312</v>
      </c>
    </row>
    <row r="5" spans="1:7" ht="76.5" customHeight="1">
      <c r="A5" s="354"/>
      <c r="B5" s="389"/>
      <c r="C5" s="99" t="s">
        <v>305</v>
      </c>
      <c r="D5" s="99" t="s">
        <v>308</v>
      </c>
      <c r="E5" s="99" t="s">
        <v>309</v>
      </c>
      <c r="F5" s="254" t="s">
        <v>311</v>
      </c>
      <c r="G5" s="392"/>
    </row>
    <row r="6" spans="1:7">
      <c r="A6" s="21">
        <v>1</v>
      </c>
      <c r="B6" s="138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</row>
    <row r="7" spans="1:7">
      <c r="A7" s="390" t="s">
        <v>107</v>
      </c>
      <c r="B7" s="390"/>
      <c r="C7" s="390"/>
      <c r="D7" s="390"/>
      <c r="E7" s="390"/>
      <c r="F7" s="390"/>
      <c r="G7" s="390"/>
    </row>
    <row r="8" spans="1:7" ht="56.25">
      <c r="A8" s="19" t="s">
        <v>42</v>
      </c>
      <c r="B8" s="89">
        <v>2000</v>
      </c>
      <c r="C8" s="40">
        <v>259</v>
      </c>
      <c r="D8" s="287">
        <v>285</v>
      </c>
      <c r="E8" s="40">
        <f>D8-C8</f>
        <v>26</v>
      </c>
      <c r="F8" s="40">
        <f>D8/C8*100</f>
        <v>110.03861003861005</v>
      </c>
      <c r="G8" s="128"/>
    </row>
    <row r="9" spans="1:7" ht="37.5">
      <c r="A9" s="19" t="s">
        <v>218</v>
      </c>
      <c r="B9" s="89">
        <v>2010</v>
      </c>
      <c r="C9" s="42"/>
      <c r="D9" s="43"/>
      <c r="E9" s="40"/>
      <c r="F9" s="40"/>
      <c r="G9" s="129"/>
    </row>
    <row r="10" spans="1:7" ht="21" customHeight="1">
      <c r="A10" s="4" t="s">
        <v>134</v>
      </c>
      <c r="B10" s="89">
        <v>2020</v>
      </c>
      <c r="C10" s="42"/>
      <c r="D10" s="43"/>
      <c r="E10" s="40"/>
      <c r="F10" s="40"/>
      <c r="G10" s="129"/>
    </row>
    <row r="11" spans="1:7">
      <c r="A11" s="19" t="s">
        <v>52</v>
      </c>
      <c r="B11" s="89">
        <v>2030</v>
      </c>
      <c r="C11" s="42"/>
      <c r="D11" s="42"/>
      <c r="E11" s="40"/>
      <c r="F11" s="40"/>
      <c r="G11" s="130"/>
    </row>
    <row r="12" spans="1:7" ht="37.5">
      <c r="A12" s="19" t="s">
        <v>95</v>
      </c>
      <c r="B12" s="89">
        <v>2031</v>
      </c>
      <c r="C12" s="42"/>
      <c r="D12" s="42"/>
      <c r="E12" s="40"/>
      <c r="F12" s="40"/>
      <c r="G12" s="130" t="s">
        <v>299</v>
      </c>
    </row>
    <row r="13" spans="1:7">
      <c r="A13" s="19" t="s">
        <v>9</v>
      </c>
      <c r="B13" s="89">
        <v>2040</v>
      </c>
      <c r="C13" s="42"/>
      <c r="D13" s="42"/>
      <c r="E13" s="40"/>
      <c r="F13" s="40"/>
      <c r="G13" s="130"/>
    </row>
    <row r="14" spans="1:7">
      <c r="A14" s="19" t="s">
        <v>82</v>
      </c>
      <c r="B14" s="89">
        <v>2050</v>
      </c>
      <c r="C14" s="42"/>
      <c r="D14" s="42"/>
      <c r="E14" s="40"/>
      <c r="F14" s="40"/>
      <c r="G14" s="130"/>
    </row>
    <row r="15" spans="1:7">
      <c r="A15" s="19" t="s">
        <v>83</v>
      </c>
      <c r="B15" s="89">
        <v>2060</v>
      </c>
      <c r="C15" s="42"/>
      <c r="D15" s="42"/>
      <c r="E15" s="40"/>
      <c r="F15" s="40"/>
      <c r="G15" s="130"/>
    </row>
    <row r="16" spans="1:7" ht="56.25">
      <c r="A16" s="19" t="s">
        <v>43</v>
      </c>
      <c r="B16" s="89">
        <v>2070</v>
      </c>
      <c r="C16" s="42">
        <v>256.3</v>
      </c>
      <c r="D16" s="42">
        <v>333</v>
      </c>
      <c r="E16" s="42">
        <f>D16-C16</f>
        <v>76.699999999999989</v>
      </c>
      <c r="F16" s="40">
        <f>D16/C16*100</f>
        <v>129.92586812329301</v>
      </c>
      <c r="G16" s="130"/>
    </row>
    <row r="17" spans="1:11" ht="39.75" customHeight="1">
      <c r="A17" s="390" t="s">
        <v>319</v>
      </c>
      <c r="B17" s="390"/>
      <c r="C17" s="390"/>
      <c r="D17" s="390"/>
      <c r="E17" s="390"/>
      <c r="F17" s="390"/>
      <c r="G17" s="390"/>
    </row>
    <row r="18" spans="1:11" ht="37.5">
      <c r="A18" s="19" t="s">
        <v>218</v>
      </c>
      <c r="B18" s="89">
        <v>2100</v>
      </c>
      <c r="C18" s="42">
        <v>3.4425000000000026</v>
      </c>
      <c r="D18" s="286">
        <f>'1.Фінансовий результат'!D99*0.15</f>
        <v>8.5854000000001189</v>
      </c>
      <c r="E18" s="42">
        <f>D18-C18</f>
        <v>5.1429000000001164</v>
      </c>
      <c r="F18" s="42">
        <f>D18/C18*100</f>
        <v>249.39433551198582</v>
      </c>
      <c r="G18" s="299"/>
    </row>
    <row r="19" spans="1:11" ht="19.5" customHeight="1">
      <c r="A19" s="19" t="s">
        <v>109</v>
      </c>
      <c r="B19" s="138">
        <v>2110</v>
      </c>
      <c r="C19" s="42">
        <v>5</v>
      </c>
      <c r="D19" s="42">
        <f>'1.Фінансовий результат'!D97</f>
        <v>12.564000000000172</v>
      </c>
      <c r="E19" s="42">
        <f t="shared" ref="E19:E39" si="0">D19-C19</f>
        <v>7.5640000000001724</v>
      </c>
      <c r="F19" s="42">
        <f t="shared" ref="F19:F39" si="1">D19/C19*100</f>
        <v>251.28000000000347</v>
      </c>
      <c r="G19" s="130"/>
      <c r="H19" s="305"/>
      <c r="I19" s="305"/>
      <c r="J19" s="305"/>
      <c r="K19" s="305"/>
    </row>
    <row r="20" spans="1:11" ht="54.75" customHeight="1">
      <c r="A20" s="19" t="s">
        <v>197</v>
      </c>
      <c r="B20" s="138">
        <v>2120</v>
      </c>
      <c r="C20" s="42">
        <v>138.57479999999998</v>
      </c>
      <c r="D20" s="353">
        <v>156</v>
      </c>
      <c r="E20" s="42">
        <f t="shared" si="0"/>
        <v>17.425200000000018</v>
      </c>
      <c r="F20" s="42">
        <f t="shared" si="1"/>
        <v>112.57458065968706</v>
      </c>
      <c r="G20" s="300"/>
      <c r="H20" s="316">
        <v>55</v>
      </c>
      <c r="I20" s="316">
        <f>'1.Фінансовий результат'!D11*0.282</f>
        <v>117.31199999999998</v>
      </c>
      <c r="J20" s="317" t="s">
        <v>430</v>
      </c>
      <c r="K20" s="305"/>
    </row>
    <row r="21" spans="1:11" ht="61.5" customHeight="1">
      <c r="A21" s="19" t="s">
        <v>198</v>
      </c>
      <c r="B21" s="138">
        <v>2130</v>
      </c>
      <c r="C21" s="42">
        <v>0</v>
      </c>
      <c r="D21" s="43"/>
      <c r="E21" s="42">
        <f t="shared" si="0"/>
        <v>0</v>
      </c>
      <c r="F21" s="143" t="e">
        <f t="shared" si="1"/>
        <v>#DIV/0!</v>
      </c>
      <c r="G21" s="129"/>
      <c r="H21" s="305"/>
      <c r="I21" s="305"/>
      <c r="J21" s="305"/>
      <c r="K21" s="305"/>
    </row>
    <row r="22" spans="1:11" ht="56.25" customHeight="1">
      <c r="A22" s="83" t="s">
        <v>162</v>
      </c>
      <c r="B22" s="139">
        <v>2140</v>
      </c>
      <c r="C22" s="40">
        <v>2262.4100000000003</v>
      </c>
      <c r="D22" s="40">
        <f>D26+D31</f>
        <v>2355.3900000000003</v>
      </c>
      <c r="E22" s="42">
        <f t="shared" si="0"/>
        <v>92.980000000000018</v>
      </c>
      <c r="F22" s="42">
        <f t="shared" si="1"/>
        <v>104.10977674250026</v>
      </c>
      <c r="G22" s="128"/>
      <c r="H22" s="305"/>
      <c r="I22" s="305"/>
      <c r="J22" s="305"/>
      <c r="K22" s="305"/>
    </row>
    <row r="23" spans="1:11">
      <c r="A23" s="19" t="s">
        <v>62</v>
      </c>
      <c r="B23" s="138">
        <v>2141</v>
      </c>
      <c r="C23" s="42"/>
      <c r="D23" s="43"/>
      <c r="E23" s="42"/>
      <c r="F23" s="42"/>
      <c r="G23" s="129"/>
      <c r="H23" s="305"/>
      <c r="I23" s="305"/>
      <c r="J23" s="305"/>
      <c r="K23" s="305"/>
    </row>
    <row r="24" spans="1:11" ht="23.25" customHeight="1">
      <c r="A24" s="19" t="s">
        <v>76</v>
      </c>
      <c r="B24" s="138">
        <v>2142</v>
      </c>
      <c r="C24" s="42"/>
      <c r="D24" s="43"/>
      <c r="E24" s="42"/>
      <c r="F24" s="42"/>
      <c r="G24" s="129"/>
      <c r="H24" s="305"/>
      <c r="I24" s="305"/>
      <c r="J24" s="305"/>
      <c r="K24" s="305"/>
    </row>
    <row r="25" spans="1:11">
      <c r="A25" s="19" t="s">
        <v>73</v>
      </c>
      <c r="B25" s="138">
        <v>2143</v>
      </c>
      <c r="C25" s="42"/>
      <c r="D25" s="43"/>
      <c r="E25" s="42"/>
      <c r="F25" s="42"/>
      <c r="G25" s="129"/>
      <c r="H25" s="305"/>
      <c r="I25" s="305"/>
      <c r="J25" s="305"/>
      <c r="K25" s="305"/>
    </row>
    <row r="26" spans="1:11" ht="23.25" customHeight="1">
      <c r="A26" s="19" t="s">
        <v>60</v>
      </c>
      <c r="B26" s="138">
        <v>2144</v>
      </c>
      <c r="C26" s="42">
        <v>2014.1100000000001</v>
      </c>
      <c r="D26" s="42">
        <f>'1.Фінансовий результат'!D107*0.18</f>
        <v>2106.36</v>
      </c>
      <c r="E26" s="42">
        <f t="shared" si="0"/>
        <v>92.25</v>
      </c>
      <c r="F26" s="42">
        <f t="shared" si="1"/>
        <v>104.58018678225123</v>
      </c>
      <c r="G26" s="129"/>
      <c r="H26" s="305"/>
      <c r="I26" s="305"/>
      <c r="J26" s="305"/>
      <c r="K26" s="305"/>
    </row>
    <row r="27" spans="1:11" ht="37.5">
      <c r="A27" s="19" t="s">
        <v>122</v>
      </c>
      <c r="B27" s="138">
        <v>2145</v>
      </c>
      <c r="C27" s="42"/>
      <c r="D27" s="42"/>
      <c r="E27" s="42"/>
      <c r="F27" s="42"/>
      <c r="G27" s="130"/>
      <c r="H27" s="305"/>
      <c r="I27" s="305"/>
      <c r="J27" s="305"/>
      <c r="K27" s="305"/>
    </row>
    <row r="28" spans="1:11" ht="75" customHeight="1">
      <c r="A28" s="19" t="s">
        <v>166</v>
      </c>
      <c r="B28" s="138" t="s">
        <v>153</v>
      </c>
      <c r="C28" s="42"/>
      <c r="D28" s="43"/>
      <c r="E28" s="42"/>
      <c r="F28" s="42"/>
      <c r="G28" s="129"/>
      <c r="H28" s="305"/>
      <c r="I28" s="305"/>
      <c r="J28" s="305"/>
      <c r="K28" s="305"/>
    </row>
    <row r="29" spans="1:11">
      <c r="A29" s="19" t="s">
        <v>10</v>
      </c>
      <c r="B29" s="138" t="s">
        <v>154</v>
      </c>
      <c r="C29" s="42"/>
      <c r="D29" s="43"/>
      <c r="E29" s="42"/>
      <c r="F29" s="42"/>
      <c r="G29" s="129"/>
      <c r="H29" s="305"/>
      <c r="I29" s="305"/>
      <c r="J29" s="305"/>
      <c r="K29" s="305"/>
    </row>
    <row r="30" spans="1:11" ht="22.5" customHeight="1">
      <c r="A30" s="19" t="s">
        <v>85</v>
      </c>
      <c r="B30" s="138">
        <v>2146</v>
      </c>
      <c r="C30" s="42"/>
      <c r="D30" s="42"/>
      <c r="E30" s="42"/>
      <c r="F30" s="42"/>
      <c r="G30" s="130"/>
      <c r="H30" s="305"/>
      <c r="I30" s="305"/>
      <c r="J30" s="305"/>
      <c r="K30" s="305"/>
    </row>
    <row r="31" spans="1:11">
      <c r="A31" s="83" t="s">
        <v>65</v>
      </c>
      <c r="B31" s="138">
        <v>2147</v>
      </c>
      <c r="C31" s="40">
        <v>248.3</v>
      </c>
      <c r="D31" s="40">
        <f>D32+D33+D34+D35+D36+D37</f>
        <v>249.02999999999997</v>
      </c>
      <c r="E31" s="40">
        <f t="shared" si="0"/>
        <v>0.72999999999996135</v>
      </c>
      <c r="F31" s="40">
        <f t="shared" si="1"/>
        <v>100.29399919452273</v>
      </c>
      <c r="G31" s="130"/>
      <c r="H31" s="305"/>
      <c r="I31" s="305"/>
      <c r="J31" s="305"/>
      <c r="K31" s="305"/>
    </row>
    <row r="32" spans="1:11">
      <c r="A32" s="135" t="s">
        <v>320</v>
      </c>
      <c r="B32" s="140" t="s">
        <v>290</v>
      </c>
      <c r="C32" s="43">
        <v>2.5999999999999996</v>
      </c>
      <c r="D32" s="43">
        <v>8.6</v>
      </c>
      <c r="E32" s="43">
        <f t="shared" si="0"/>
        <v>6</v>
      </c>
      <c r="F32" s="43">
        <f t="shared" si="1"/>
        <v>330.76923076923077</v>
      </c>
      <c r="G32" s="130"/>
      <c r="H32" s="305"/>
      <c r="I32" s="305"/>
      <c r="J32" s="305"/>
      <c r="K32" s="305"/>
    </row>
    <row r="33" spans="1:11" ht="16.5" customHeight="1">
      <c r="A33" s="108" t="s">
        <v>321</v>
      </c>
      <c r="B33" s="140" t="s">
        <v>291</v>
      </c>
      <c r="C33" s="43">
        <v>72</v>
      </c>
      <c r="D33" s="253">
        <f>'1.Фінансовий результат'!D87</f>
        <v>64.099999999999994</v>
      </c>
      <c r="E33" s="43">
        <f t="shared" si="0"/>
        <v>-7.9000000000000057</v>
      </c>
      <c r="F33" s="43">
        <f t="shared" si="1"/>
        <v>89.027777777777771</v>
      </c>
      <c r="G33" s="130"/>
      <c r="H33" s="305"/>
      <c r="I33" s="305"/>
      <c r="J33" s="305"/>
      <c r="K33" s="305"/>
    </row>
    <row r="34" spans="1:11">
      <c r="A34" s="108" t="s">
        <v>293</v>
      </c>
      <c r="B34" s="140" t="s">
        <v>292</v>
      </c>
      <c r="C34" s="43">
        <v>1.2</v>
      </c>
      <c r="D34" s="43">
        <f>'1.Фінансовий результат'!D88</f>
        <v>0.8</v>
      </c>
      <c r="E34" s="43">
        <f t="shared" si="0"/>
        <v>-0.39999999999999991</v>
      </c>
      <c r="F34" s="43">
        <f t="shared" si="1"/>
        <v>66.666666666666671</v>
      </c>
      <c r="G34" s="130"/>
      <c r="H34" s="305"/>
      <c r="I34" s="305"/>
      <c r="J34" s="305"/>
      <c r="K34" s="305"/>
    </row>
    <row r="35" spans="1:11">
      <c r="A35" s="108" t="s">
        <v>322</v>
      </c>
      <c r="B35" s="140" t="s">
        <v>294</v>
      </c>
      <c r="C35" s="43">
        <v>0.4</v>
      </c>
      <c r="D35" s="43">
        <f>'1.Фінансовий результат'!D86</f>
        <v>0</v>
      </c>
      <c r="E35" s="43">
        <f t="shared" si="0"/>
        <v>-0.4</v>
      </c>
      <c r="F35" s="43">
        <f t="shared" si="1"/>
        <v>0</v>
      </c>
      <c r="G35" s="130"/>
      <c r="H35" s="305"/>
      <c r="I35" s="305"/>
      <c r="J35" s="305"/>
      <c r="K35" s="305"/>
    </row>
    <row r="36" spans="1:11">
      <c r="A36" s="135" t="s">
        <v>296</v>
      </c>
      <c r="B36" s="140" t="s">
        <v>295</v>
      </c>
      <c r="C36" s="43">
        <v>167.9</v>
      </c>
      <c r="D36" s="43">
        <f>'1.Фінансовий результат'!D107*0.015</f>
        <v>175.53</v>
      </c>
      <c r="E36" s="43">
        <f t="shared" si="0"/>
        <v>7.6299999999999955</v>
      </c>
      <c r="F36" s="43">
        <f t="shared" si="1"/>
        <v>104.54437164979153</v>
      </c>
      <c r="G36" s="130"/>
      <c r="H36" s="316">
        <v>79.5</v>
      </c>
      <c r="I36" s="305"/>
      <c r="J36" s="305"/>
      <c r="K36" s="305"/>
    </row>
    <row r="37" spans="1:11">
      <c r="A37" s="19" t="s">
        <v>423</v>
      </c>
      <c r="B37" s="85" t="s">
        <v>422</v>
      </c>
      <c r="C37" s="43">
        <v>4.2</v>
      </c>
      <c r="D37" s="43">
        <f>'1.Фінансовий результат'!D90</f>
        <v>0</v>
      </c>
      <c r="E37" s="43">
        <f t="shared" ref="E37" si="2">D37-C37</f>
        <v>-4.2</v>
      </c>
      <c r="F37" s="43">
        <f t="shared" ref="F37" si="3">D37/C37*100</f>
        <v>0</v>
      </c>
      <c r="G37" s="130"/>
      <c r="H37" s="305"/>
      <c r="I37" s="305"/>
      <c r="J37" s="305"/>
      <c r="K37" s="305"/>
    </row>
    <row r="38" spans="1:11" ht="45" customHeight="1">
      <c r="A38" s="19" t="s">
        <v>411</v>
      </c>
      <c r="B38" s="138">
        <v>2150</v>
      </c>
      <c r="C38" s="42">
        <v>2461.6000000000004</v>
      </c>
      <c r="D38" s="42">
        <f>'1.Фінансовий результат'!D108</f>
        <v>2438</v>
      </c>
      <c r="E38" s="42">
        <f t="shared" si="0"/>
        <v>-23.600000000000364</v>
      </c>
      <c r="F38" s="42">
        <f t="shared" si="1"/>
        <v>99.041273968150776</v>
      </c>
      <c r="G38" s="130"/>
      <c r="H38" s="305"/>
      <c r="I38" s="305"/>
      <c r="J38" s="305"/>
      <c r="K38" s="305"/>
    </row>
    <row r="39" spans="1:11">
      <c r="A39" s="131" t="s">
        <v>171</v>
      </c>
      <c r="B39" s="141">
        <v>2200</v>
      </c>
      <c r="C39" s="132">
        <v>4871.0273000000007</v>
      </c>
      <c r="D39" s="132">
        <f>D38+D22+D21+D20+D19+D18</f>
        <v>4970.5394000000006</v>
      </c>
      <c r="E39" s="132">
        <f t="shared" si="0"/>
        <v>99.512099999999919</v>
      </c>
      <c r="F39" s="132">
        <f t="shared" si="1"/>
        <v>102.04293866306189</v>
      </c>
      <c r="G39" s="133"/>
      <c r="H39" s="305"/>
      <c r="I39" s="305"/>
      <c r="J39" s="305"/>
      <c r="K39" s="305"/>
    </row>
    <row r="40" spans="1:11">
      <c r="A40" s="27"/>
      <c r="C40" s="25"/>
      <c r="D40" s="26"/>
      <c r="E40" s="26"/>
      <c r="F40" s="26"/>
      <c r="G40" s="26"/>
    </row>
    <row r="41" spans="1:11" ht="21.75" customHeight="1">
      <c r="A41" s="136" t="s">
        <v>310</v>
      </c>
      <c r="B41" s="367" t="s">
        <v>323</v>
      </c>
      <c r="C41" s="367"/>
      <c r="D41" s="5"/>
      <c r="E41" s="391" t="s">
        <v>326</v>
      </c>
      <c r="F41" s="391"/>
      <c r="G41" s="391"/>
    </row>
    <row r="42" spans="1:11" s="103" customFormat="1" ht="12.75">
      <c r="A42" s="109" t="s">
        <v>324</v>
      </c>
      <c r="B42" s="360" t="s">
        <v>57</v>
      </c>
      <c r="C42" s="360"/>
      <c r="D42" s="111"/>
      <c r="E42" s="361" t="s">
        <v>325</v>
      </c>
      <c r="F42" s="361"/>
      <c r="G42" s="361"/>
    </row>
    <row r="43" spans="1:11">
      <c r="A43" s="24"/>
    </row>
    <row r="44" spans="1:11">
      <c r="A44" s="24"/>
    </row>
    <row r="45" spans="1:11">
      <c r="A45" s="24"/>
    </row>
    <row r="46" spans="1:11">
      <c r="A46" s="24"/>
    </row>
    <row r="47" spans="1:11">
      <c r="A47" s="24"/>
    </row>
    <row r="48" spans="1:11">
      <c r="A48" s="24"/>
    </row>
    <row r="49" spans="1:1">
      <c r="A49" s="24"/>
    </row>
    <row r="50" spans="1:1">
      <c r="A50" s="24"/>
    </row>
    <row r="51" spans="1:1">
      <c r="A51" s="24"/>
    </row>
    <row r="52" spans="1:1">
      <c r="A52" s="24"/>
    </row>
    <row r="53" spans="1:1">
      <c r="A53" s="24"/>
    </row>
    <row r="54" spans="1:1">
      <c r="A54" s="24"/>
    </row>
    <row r="55" spans="1:1">
      <c r="A55" s="24"/>
    </row>
    <row r="56" spans="1:1">
      <c r="A56" s="24"/>
    </row>
    <row r="57" spans="1:1">
      <c r="A57" s="24"/>
    </row>
    <row r="58" spans="1:1">
      <c r="A58" s="24"/>
    </row>
    <row r="59" spans="1:1">
      <c r="A59" s="24"/>
    </row>
    <row r="60" spans="1:1">
      <c r="A60" s="24"/>
    </row>
    <row r="61" spans="1:1">
      <c r="A61" s="24"/>
    </row>
    <row r="62" spans="1:1">
      <c r="A62" s="24"/>
    </row>
    <row r="63" spans="1:1">
      <c r="A63" s="24"/>
    </row>
    <row r="64" spans="1:1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  <row r="124" spans="1:1">
      <c r="A124" s="24"/>
    </row>
    <row r="125" spans="1:1">
      <c r="A125" s="24"/>
    </row>
    <row r="126" spans="1:1">
      <c r="A126" s="24"/>
    </row>
    <row r="127" spans="1:1">
      <c r="A127" s="24"/>
    </row>
    <row r="128" spans="1:1">
      <c r="A128" s="24"/>
    </row>
    <row r="129" spans="1:1">
      <c r="A129" s="24"/>
    </row>
    <row r="130" spans="1:1">
      <c r="A130" s="24"/>
    </row>
    <row r="131" spans="1:1">
      <c r="A131" s="24"/>
    </row>
    <row r="132" spans="1:1">
      <c r="A132" s="24"/>
    </row>
    <row r="133" spans="1:1">
      <c r="A133" s="24"/>
    </row>
    <row r="134" spans="1:1">
      <c r="A134" s="24"/>
    </row>
    <row r="135" spans="1:1">
      <c r="A135" s="24"/>
    </row>
    <row r="136" spans="1:1">
      <c r="A136" s="24"/>
    </row>
    <row r="137" spans="1:1">
      <c r="A137" s="24"/>
    </row>
    <row r="138" spans="1:1">
      <c r="A138" s="24"/>
    </row>
    <row r="139" spans="1:1">
      <c r="A139" s="24"/>
    </row>
    <row r="140" spans="1:1">
      <c r="A140" s="24"/>
    </row>
    <row r="141" spans="1:1">
      <c r="A141" s="24"/>
    </row>
    <row r="142" spans="1:1">
      <c r="A142" s="24"/>
    </row>
    <row r="143" spans="1:1">
      <c r="A143" s="24"/>
    </row>
    <row r="144" spans="1:1">
      <c r="A144" s="24"/>
    </row>
    <row r="145" spans="1:1">
      <c r="A145" s="24"/>
    </row>
    <row r="146" spans="1:1">
      <c r="A146" s="24"/>
    </row>
    <row r="147" spans="1:1">
      <c r="A147" s="24"/>
    </row>
    <row r="148" spans="1:1">
      <c r="A148" s="24"/>
    </row>
    <row r="149" spans="1:1">
      <c r="A149" s="24"/>
    </row>
    <row r="150" spans="1:1">
      <c r="A150" s="24"/>
    </row>
    <row r="151" spans="1:1">
      <c r="A151" s="24"/>
    </row>
    <row r="152" spans="1:1">
      <c r="A152" s="24"/>
    </row>
    <row r="153" spans="1:1">
      <c r="A153" s="24"/>
    </row>
    <row r="154" spans="1:1">
      <c r="A154" s="24"/>
    </row>
    <row r="155" spans="1:1">
      <c r="A155" s="24"/>
    </row>
    <row r="156" spans="1:1">
      <c r="A156" s="24"/>
    </row>
    <row r="157" spans="1:1">
      <c r="A157" s="24"/>
    </row>
    <row r="158" spans="1:1">
      <c r="A158" s="24"/>
    </row>
    <row r="159" spans="1:1">
      <c r="A159" s="24"/>
    </row>
    <row r="160" spans="1:1">
      <c r="A160" s="24"/>
    </row>
    <row r="161" spans="1:1">
      <c r="A161" s="24"/>
    </row>
    <row r="162" spans="1:1">
      <c r="A162" s="24"/>
    </row>
    <row r="163" spans="1:1">
      <c r="A163" s="24"/>
    </row>
    <row r="164" spans="1:1">
      <c r="A164" s="24"/>
    </row>
    <row r="165" spans="1:1">
      <c r="A165" s="24"/>
    </row>
    <row r="166" spans="1:1">
      <c r="A166" s="24"/>
    </row>
    <row r="167" spans="1:1">
      <c r="A167" s="24"/>
    </row>
    <row r="168" spans="1:1">
      <c r="A168" s="24"/>
    </row>
    <row r="169" spans="1:1">
      <c r="A169" s="24"/>
    </row>
    <row r="170" spans="1:1">
      <c r="A170" s="24"/>
    </row>
    <row r="171" spans="1:1">
      <c r="A171" s="24"/>
    </row>
    <row r="172" spans="1:1">
      <c r="A172" s="24"/>
    </row>
    <row r="173" spans="1:1">
      <c r="A173" s="24"/>
    </row>
    <row r="174" spans="1:1">
      <c r="A174" s="24"/>
    </row>
    <row r="175" spans="1:1">
      <c r="A175" s="24"/>
    </row>
    <row r="176" spans="1:1">
      <c r="A176" s="24"/>
    </row>
    <row r="177" spans="1:1">
      <c r="A177" s="24"/>
    </row>
    <row r="178" spans="1:1">
      <c r="A178" s="24"/>
    </row>
    <row r="179" spans="1:1">
      <c r="A179" s="24"/>
    </row>
    <row r="180" spans="1:1">
      <c r="A180" s="24"/>
    </row>
    <row r="181" spans="1:1">
      <c r="A181" s="24"/>
    </row>
    <row r="182" spans="1:1">
      <c r="A182" s="24"/>
    </row>
    <row r="183" spans="1:1">
      <c r="A183" s="24"/>
    </row>
    <row r="184" spans="1:1">
      <c r="A184" s="24"/>
    </row>
    <row r="185" spans="1:1">
      <c r="A185" s="24"/>
    </row>
    <row r="186" spans="1:1">
      <c r="A186" s="24"/>
    </row>
    <row r="187" spans="1:1">
      <c r="A187" s="24"/>
    </row>
    <row r="188" spans="1:1">
      <c r="A188" s="24"/>
    </row>
    <row r="189" spans="1:1">
      <c r="A189" s="24"/>
    </row>
    <row r="190" spans="1:1">
      <c r="A190" s="24"/>
    </row>
    <row r="191" spans="1:1">
      <c r="A191" s="24"/>
    </row>
    <row r="192" spans="1:1">
      <c r="A192" s="24"/>
    </row>
  </sheetData>
  <mergeCells count="11">
    <mergeCell ref="B41:C41"/>
    <mergeCell ref="E41:G41"/>
    <mergeCell ref="B42:C42"/>
    <mergeCell ref="E42:G42"/>
    <mergeCell ref="C4:F4"/>
    <mergeCell ref="G4:G5"/>
    <mergeCell ref="A2:G2"/>
    <mergeCell ref="A4:A5"/>
    <mergeCell ref="B4:B5"/>
    <mergeCell ref="A7:G7"/>
    <mergeCell ref="A17:G17"/>
  </mergeCells>
  <printOptions horizontalCentered="1"/>
  <pageMargins left="0.70866141732283472" right="0.70866141732283472" top="0.47" bottom="0.38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84"/>
  <sheetViews>
    <sheetView view="pageBreakPreview" topLeftCell="A66" zoomScale="60" zoomScaleNormal="57" workbookViewId="0">
      <selection activeCell="C17" sqref="C17"/>
    </sheetView>
  </sheetViews>
  <sheetFormatPr defaultRowHeight="18.75" outlineLevelRow="1" outlineLevelCol="1"/>
  <cols>
    <col min="1" max="1" width="47.42578125" style="2" customWidth="1"/>
    <col min="2" max="2" width="11.7109375" style="2" customWidth="1"/>
    <col min="3" max="4" width="13.140625" style="2" customWidth="1"/>
    <col min="5" max="5" width="13.5703125" style="2" customWidth="1"/>
    <col min="6" max="6" width="11.85546875" style="2" customWidth="1"/>
    <col min="7" max="7" width="24.7109375" style="2" customWidth="1"/>
    <col min="8" max="8" width="10.28515625" hidden="1" customWidth="1" outlineLevel="1"/>
    <col min="9" max="18" width="9.140625" hidden="1" customWidth="1" outlineLevel="1"/>
    <col min="19" max="19" width="9.140625" collapsed="1"/>
  </cols>
  <sheetData>
    <row r="1" spans="1:8">
      <c r="A1" s="359" t="s">
        <v>438</v>
      </c>
      <c r="B1" s="359"/>
      <c r="C1" s="359"/>
      <c r="D1" s="359"/>
      <c r="E1" s="359"/>
      <c r="F1" s="359"/>
      <c r="G1" s="359"/>
    </row>
    <row r="2" spans="1:8">
      <c r="A2" s="265"/>
      <c r="B2" s="265"/>
      <c r="C2" s="265"/>
      <c r="D2" s="265"/>
      <c r="E2" s="265"/>
      <c r="F2" s="265"/>
      <c r="G2" s="265"/>
    </row>
    <row r="3" spans="1:8">
      <c r="A3" s="9"/>
      <c r="B3" s="9"/>
      <c r="C3" s="9"/>
      <c r="D3" s="9"/>
      <c r="E3" s="9"/>
      <c r="F3" s="9"/>
      <c r="G3" s="9"/>
    </row>
    <row r="4" spans="1:8">
      <c r="A4" s="395" t="s">
        <v>169</v>
      </c>
      <c r="B4" s="397" t="s">
        <v>0</v>
      </c>
      <c r="C4" s="357" t="s">
        <v>307</v>
      </c>
      <c r="D4" s="358"/>
      <c r="E4" s="358"/>
      <c r="F4" s="358"/>
      <c r="G4" s="399"/>
    </row>
    <row r="5" spans="1:8" ht="92.25" customHeight="1">
      <c r="A5" s="396"/>
      <c r="B5" s="398"/>
      <c r="C5" s="99" t="s">
        <v>305</v>
      </c>
      <c r="D5" s="99" t="s">
        <v>308</v>
      </c>
      <c r="E5" s="99" t="s">
        <v>309</v>
      </c>
      <c r="F5" s="99" t="s">
        <v>311</v>
      </c>
      <c r="G5" s="99" t="s">
        <v>312</v>
      </c>
    </row>
    <row r="6" spans="1:8">
      <c r="A6" s="8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8">
      <c r="A7" s="390" t="s">
        <v>112</v>
      </c>
      <c r="B7" s="390"/>
      <c r="C7" s="390"/>
      <c r="D7" s="390"/>
      <c r="E7" s="390"/>
      <c r="F7" s="390"/>
      <c r="G7" s="390"/>
    </row>
    <row r="8" spans="1:8" ht="56.25">
      <c r="A8" s="345" t="s">
        <v>161</v>
      </c>
      <c r="B8" s="112">
        <v>1200</v>
      </c>
      <c r="C8" s="39">
        <v>27.999999999999261</v>
      </c>
      <c r="D8" s="39">
        <f>'1.Фінансовий результат'!D96</f>
        <v>69.800000000000963</v>
      </c>
      <c r="E8" s="39">
        <f>D8-C8</f>
        <v>41.800000000001702</v>
      </c>
      <c r="F8" s="31">
        <f>D8/C8*100</f>
        <v>249.28571428572434</v>
      </c>
      <c r="G8" s="30"/>
      <c r="H8" s="232">
        <f>D8</f>
        <v>69.800000000000963</v>
      </c>
    </row>
    <row r="9" spans="1:8" ht="21" customHeight="1">
      <c r="A9" s="19" t="s">
        <v>124</v>
      </c>
      <c r="B9" s="155"/>
      <c r="C9" s="30"/>
      <c r="D9" s="245"/>
      <c r="E9" s="30"/>
      <c r="F9" s="30"/>
      <c r="G9" s="30"/>
    </row>
    <row r="10" spans="1:8" s="106" customFormat="1" ht="21.75" customHeight="1">
      <c r="A10" s="135" t="s">
        <v>126</v>
      </c>
      <c r="B10" s="164">
        <v>3000</v>
      </c>
      <c r="C10" s="121">
        <v>0</v>
      </c>
      <c r="D10" s="250"/>
      <c r="E10" s="121"/>
      <c r="F10" s="121"/>
      <c r="G10" s="121"/>
      <c r="H10" s="246">
        <f>'1.Фінансовий результат'!D109</f>
        <v>260</v>
      </c>
    </row>
    <row r="11" spans="1:8" s="106" customFormat="1">
      <c r="A11" s="135" t="s">
        <v>127</v>
      </c>
      <c r="B11" s="164">
        <v>3010</v>
      </c>
      <c r="C11" s="121">
        <v>0</v>
      </c>
      <c r="D11" s="250"/>
      <c r="E11" s="121"/>
      <c r="F11" s="121"/>
      <c r="G11" s="121"/>
      <c r="H11" s="247">
        <f>'1.Фінансовий результат'!D7</f>
        <v>26095</v>
      </c>
    </row>
    <row r="12" spans="1:8" s="106" customFormat="1" ht="42.75" customHeight="1">
      <c r="A12" s="135" t="s">
        <v>128</v>
      </c>
      <c r="B12" s="164">
        <v>3020</v>
      </c>
      <c r="C12" s="121">
        <v>0</v>
      </c>
      <c r="D12" s="250"/>
      <c r="E12" s="121"/>
      <c r="F12" s="121"/>
      <c r="G12" s="121"/>
      <c r="H12" s="247"/>
    </row>
    <row r="13" spans="1:8" s="106" customFormat="1" ht="56.25" customHeight="1">
      <c r="A13" s="135" t="s">
        <v>129</v>
      </c>
      <c r="B13" s="164">
        <v>3030</v>
      </c>
      <c r="C13" s="121">
        <v>0</v>
      </c>
      <c r="D13" s="250"/>
      <c r="E13" s="121"/>
      <c r="F13" s="121"/>
      <c r="G13" s="121"/>
      <c r="H13" s="247">
        <v>2</v>
      </c>
    </row>
    <row r="14" spans="1:8" ht="56.25">
      <c r="A14" s="83" t="s">
        <v>161</v>
      </c>
      <c r="B14" s="264">
        <v>3040</v>
      </c>
      <c r="C14" s="266">
        <v>0</v>
      </c>
      <c r="D14" s="155"/>
      <c r="E14" s="30"/>
      <c r="F14" s="30"/>
      <c r="G14" s="30"/>
      <c r="H14" s="246">
        <f>SUM(H8:H13)</f>
        <v>26426.799999999999</v>
      </c>
    </row>
    <row r="15" spans="1:8" ht="36.75" customHeight="1">
      <c r="A15" s="19" t="s">
        <v>130</v>
      </c>
      <c r="B15" s="84">
        <v>3050</v>
      </c>
      <c r="C15" s="121">
        <v>0</v>
      </c>
      <c r="E15" s="30"/>
      <c r="F15" s="30"/>
      <c r="G15" s="30"/>
      <c r="H15" s="246">
        <f>-137</f>
        <v>-137</v>
      </c>
    </row>
    <row r="16" spans="1:8" ht="39" customHeight="1">
      <c r="A16" s="19" t="s">
        <v>131</v>
      </c>
      <c r="B16" s="84">
        <v>3060</v>
      </c>
      <c r="C16" s="121">
        <v>0</v>
      </c>
      <c r="D16" s="94"/>
      <c r="E16" s="30"/>
      <c r="F16" s="30"/>
      <c r="G16" s="30"/>
    </row>
    <row r="17" spans="1:8" ht="39" customHeight="1">
      <c r="A17" s="83" t="s">
        <v>460</v>
      </c>
      <c r="B17" s="84">
        <v>3070</v>
      </c>
      <c r="C17" s="39">
        <v>21846.399999999998</v>
      </c>
      <c r="D17" s="39">
        <f>D18</f>
        <v>25679</v>
      </c>
      <c r="E17" s="39">
        <f>D17-C17</f>
        <v>3832.6000000000022</v>
      </c>
      <c r="F17" s="39">
        <f>D17/C17*100</f>
        <v>117.5433938772521</v>
      </c>
      <c r="H17" s="231">
        <f>H14+H15+D16</f>
        <v>26289.8</v>
      </c>
    </row>
    <row r="18" spans="1:8">
      <c r="A18" s="49" t="s">
        <v>254</v>
      </c>
      <c r="B18" s="48" t="s">
        <v>259</v>
      </c>
      <c r="C18" s="94">
        <v>21846.399999999998</v>
      </c>
      <c r="D18" s="94">
        <f>D19</f>
        <v>25679</v>
      </c>
      <c r="E18" s="94">
        <f t="shared" ref="E18:E28" si="0">D18-C18</f>
        <v>3832.6000000000022</v>
      </c>
      <c r="F18" s="94">
        <f t="shared" ref="F18:F28" si="1">D18/C18*100</f>
        <v>117.5433938772521</v>
      </c>
      <c r="G18" s="30"/>
    </row>
    <row r="19" spans="1:8">
      <c r="A19" s="52" t="s">
        <v>255</v>
      </c>
      <c r="B19" s="48" t="s">
        <v>262</v>
      </c>
      <c r="C19" s="323">
        <v>21846.399999999998</v>
      </c>
      <c r="D19" s="228">
        <f>'1.Фінансовий результат'!D13</f>
        <v>25679</v>
      </c>
      <c r="E19" s="94">
        <f t="shared" si="0"/>
        <v>3832.6000000000022</v>
      </c>
      <c r="F19" s="94">
        <f t="shared" si="1"/>
        <v>117.5433938772521</v>
      </c>
      <c r="G19" s="30"/>
    </row>
    <row r="20" spans="1:8">
      <c r="A20" s="49" t="s">
        <v>256</v>
      </c>
      <c r="B20" s="76" t="s">
        <v>260</v>
      </c>
      <c r="C20" s="39">
        <v>21818.399999999998</v>
      </c>
      <c r="D20" s="39">
        <f>'1.Фінансовий результат'!D111</f>
        <v>25608.600000000002</v>
      </c>
      <c r="E20" s="39">
        <f t="shared" si="0"/>
        <v>3790.2000000000044</v>
      </c>
      <c r="F20" s="39">
        <f t="shared" si="1"/>
        <v>117.37157628423718</v>
      </c>
      <c r="G20" s="30"/>
    </row>
    <row r="21" spans="1:8">
      <c r="A21" s="52" t="s">
        <v>257</v>
      </c>
      <c r="B21" s="48" t="s">
        <v>263</v>
      </c>
      <c r="C21" s="318">
        <v>5766.2899999999972</v>
      </c>
      <c r="D21" s="228">
        <f>D20-D22-D23-D24-D25</f>
        <v>8957.2100000000028</v>
      </c>
      <c r="E21" s="94">
        <f t="shared" si="0"/>
        <v>3190.9200000000055</v>
      </c>
      <c r="F21" s="94">
        <f t="shared" si="1"/>
        <v>155.33748736189139</v>
      </c>
      <c r="G21" s="30"/>
    </row>
    <row r="22" spans="1:8">
      <c r="A22" s="52" t="s">
        <v>258</v>
      </c>
      <c r="B22" s="48" t="s">
        <v>264</v>
      </c>
      <c r="C22" s="318">
        <v>11189.5</v>
      </c>
      <c r="D22" s="228">
        <f>'1.Фінансовий результат'!D107</f>
        <v>11702</v>
      </c>
      <c r="E22" s="94">
        <f t="shared" si="0"/>
        <v>512.5</v>
      </c>
      <c r="F22" s="94">
        <f t="shared" si="1"/>
        <v>104.58018678225123</v>
      </c>
      <c r="G22" s="30"/>
    </row>
    <row r="23" spans="1:8">
      <c r="A23" s="52" t="s">
        <v>3</v>
      </c>
      <c r="B23" s="48" t="s">
        <v>265</v>
      </c>
      <c r="C23" s="318">
        <v>2461.6000000000004</v>
      </c>
      <c r="D23" s="228">
        <f>'1.Фінансовий результат'!D108</f>
        <v>2438</v>
      </c>
      <c r="E23" s="94">
        <f t="shared" si="0"/>
        <v>-23.600000000000364</v>
      </c>
      <c r="F23" s="94">
        <f t="shared" si="1"/>
        <v>99.041273968150776</v>
      </c>
      <c r="G23" s="30"/>
    </row>
    <row r="24" spans="1:8">
      <c r="A24" s="52" t="s">
        <v>331</v>
      </c>
      <c r="B24" s="48" t="s">
        <v>266</v>
      </c>
      <c r="C24" s="323">
        <v>2262.4100000000003</v>
      </c>
      <c r="D24" s="267">
        <f>'2.Розрахунки з бюджетом'!D22</f>
        <v>2355.3900000000003</v>
      </c>
      <c r="E24" s="94">
        <f t="shared" si="0"/>
        <v>92.980000000000018</v>
      </c>
      <c r="F24" s="94">
        <f t="shared" si="1"/>
        <v>104.10977674250026</v>
      </c>
      <c r="G24" s="30"/>
      <c r="H24">
        <f>'2.Розрахунки з бюджетом'!D22</f>
        <v>2355.3900000000003</v>
      </c>
    </row>
    <row r="25" spans="1:8">
      <c r="A25" s="52" t="s">
        <v>434</v>
      </c>
      <c r="B25" s="48" t="s">
        <v>267</v>
      </c>
      <c r="C25" s="318">
        <v>138.6</v>
      </c>
      <c r="D25" s="94">
        <f>'2.Розрахунки з бюджетом'!D20</f>
        <v>156</v>
      </c>
      <c r="E25" s="94">
        <f t="shared" si="0"/>
        <v>17.400000000000006</v>
      </c>
      <c r="F25" s="94">
        <f t="shared" si="1"/>
        <v>112.55411255411256</v>
      </c>
      <c r="G25" s="30"/>
    </row>
    <row r="26" spans="1:8">
      <c r="A26" s="52" t="s">
        <v>261</v>
      </c>
      <c r="B26" s="48" t="s">
        <v>268</v>
      </c>
      <c r="C26" s="318">
        <v>0</v>
      </c>
      <c r="D26" s="94">
        <f>'1.Фінансовий результат'!D95</f>
        <v>0</v>
      </c>
      <c r="E26" s="94"/>
      <c r="F26" s="94"/>
      <c r="G26" s="30"/>
    </row>
    <row r="27" spans="1:8" ht="23.25" customHeight="1">
      <c r="A27" s="319" t="s">
        <v>125</v>
      </c>
      <c r="B27" s="84">
        <v>3080</v>
      </c>
      <c r="C27" s="39">
        <v>5</v>
      </c>
      <c r="D27" s="39">
        <f>'1.Фінансовий результат'!D97</f>
        <v>12.564000000000172</v>
      </c>
      <c r="E27" s="39">
        <f t="shared" si="0"/>
        <v>7.5640000000001724</v>
      </c>
      <c r="F27" s="39">
        <f t="shared" si="1"/>
        <v>251.28000000000347</v>
      </c>
      <c r="G27" s="30"/>
    </row>
    <row r="28" spans="1:8" ht="39" customHeight="1">
      <c r="A28" s="79" t="s">
        <v>111</v>
      </c>
      <c r="B28" s="84">
        <v>3090</v>
      </c>
      <c r="C28" s="39">
        <v>23</v>
      </c>
      <c r="D28" s="39">
        <f>D18-D20-D27</f>
        <v>57.835999999997647</v>
      </c>
      <c r="E28" s="39">
        <f t="shared" si="0"/>
        <v>34.835999999997647</v>
      </c>
      <c r="F28" s="39">
        <f t="shared" si="1"/>
        <v>251.46086956520713</v>
      </c>
      <c r="G28" s="30"/>
    </row>
    <row r="29" spans="1:8">
      <c r="A29" s="390" t="s">
        <v>113</v>
      </c>
      <c r="B29" s="390"/>
      <c r="C29" s="390"/>
      <c r="D29" s="390"/>
      <c r="E29" s="390"/>
      <c r="F29" s="390"/>
      <c r="G29" s="390"/>
    </row>
    <row r="30" spans="1:8">
      <c r="A30" s="83" t="s">
        <v>172</v>
      </c>
      <c r="B30" s="154"/>
      <c r="C30" s="94"/>
      <c r="D30" s="94"/>
      <c r="E30" s="94"/>
      <c r="F30" s="94"/>
      <c r="G30" s="94"/>
    </row>
    <row r="31" spans="1:8" ht="22.5" customHeight="1">
      <c r="A31" s="4" t="s">
        <v>14</v>
      </c>
      <c r="B31" s="154">
        <v>3200</v>
      </c>
      <c r="C31" s="263" t="e">
        <f>#REF!+#REF!</f>
        <v>#REF!</v>
      </c>
      <c r="D31" s="263"/>
      <c r="E31" s="94"/>
      <c r="F31" s="94"/>
      <c r="G31" s="94"/>
    </row>
    <row r="32" spans="1:8" ht="37.5">
      <c r="A32" s="4" t="s">
        <v>15</v>
      </c>
      <c r="B32" s="154">
        <v>3210</v>
      </c>
      <c r="C32" s="263" t="e">
        <f>#REF!+#REF!</f>
        <v>#REF!</v>
      </c>
      <c r="D32" s="263"/>
      <c r="E32" s="94"/>
      <c r="F32" s="94"/>
      <c r="G32" s="94"/>
    </row>
    <row r="33" spans="1:8" ht="37.5">
      <c r="A33" s="4" t="s">
        <v>36</v>
      </c>
      <c r="B33" s="154">
        <v>3220</v>
      </c>
      <c r="C33" s="263" t="e">
        <f>#REF!+#REF!</f>
        <v>#REF!</v>
      </c>
      <c r="D33" s="263"/>
      <c r="E33" s="94"/>
      <c r="F33" s="94"/>
      <c r="G33" s="94"/>
    </row>
    <row r="34" spans="1:8">
      <c r="A34" s="19" t="s">
        <v>332</v>
      </c>
      <c r="B34" s="154"/>
      <c r="C34" s="263" t="e">
        <f>#REF!+#REF!</f>
        <v>#REF!</v>
      </c>
      <c r="D34" s="263"/>
      <c r="E34" s="94"/>
      <c r="F34" s="94"/>
      <c r="G34" s="94"/>
    </row>
    <row r="35" spans="1:8">
      <c r="A35" s="4" t="s">
        <v>117</v>
      </c>
      <c r="B35" s="154">
        <v>3230</v>
      </c>
      <c r="C35" s="263" t="e">
        <f>#REF!+#REF!</f>
        <v>#REF!</v>
      </c>
      <c r="D35" s="263"/>
      <c r="E35" s="94"/>
      <c r="F35" s="94"/>
      <c r="G35" s="94"/>
    </row>
    <row r="36" spans="1:8">
      <c r="A36" s="4" t="s">
        <v>118</v>
      </c>
      <c r="B36" s="154">
        <v>3240</v>
      </c>
      <c r="C36" s="263" t="e">
        <f>#REF!+#REF!</f>
        <v>#REF!</v>
      </c>
      <c r="D36" s="263"/>
      <c r="E36" s="94"/>
      <c r="F36" s="94"/>
      <c r="G36" s="94"/>
    </row>
    <row r="37" spans="1:8">
      <c r="A37" s="19" t="s">
        <v>119</v>
      </c>
      <c r="B37" s="154">
        <v>3250</v>
      </c>
      <c r="C37" s="263" t="e">
        <f>#REF!+#REF!</f>
        <v>#REF!</v>
      </c>
      <c r="D37" s="263"/>
      <c r="E37" s="94"/>
      <c r="F37" s="94"/>
      <c r="G37" s="94"/>
    </row>
    <row r="38" spans="1:8" ht="24.75" customHeight="1">
      <c r="A38" s="4" t="s">
        <v>87</v>
      </c>
      <c r="B38" s="154">
        <v>3260</v>
      </c>
      <c r="C38" s="263" t="e">
        <f>#REF!+#REF!</f>
        <v>#REF!</v>
      </c>
      <c r="D38" s="263"/>
      <c r="E38" s="94"/>
      <c r="F38" s="94"/>
      <c r="G38" s="94"/>
    </row>
    <row r="39" spans="1:8">
      <c r="A39" s="83" t="s">
        <v>174</v>
      </c>
      <c r="B39" s="154"/>
      <c r="C39" s="263" t="e">
        <f>#REF!+#REF!</f>
        <v>#REF!</v>
      </c>
      <c r="D39" s="263"/>
      <c r="E39" s="94"/>
      <c r="F39" s="94"/>
      <c r="G39" s="94"/>
    </row>
    <row r="40" spans="1:8" ht="37.5" customHeight="1">
      <c r="A40" s="163" t="s">
        <v>88</v>
      </c>
      <c r="B40" s="154">
        <v>3270</v>
      </c>
      <c r="C40" s="263" t="e">
        <f>#REF!+#REF!</f>
        <v>#REF!</v>
      </c>
      <c r="D40" s="263"/>
      <c r="E40" s="94"/>
      <c r="F40" s="94"/>
      <c r="G40" s="94"/>
      <c r="H40">
        <f>'4.Кап. інвестиції'!D7*1.2</f>
        <v>4479.5999999999995</v>
      </c>
    </row>
    <row r="41" spans="1:8" ht="37.5">
      <c r="A41" s="4" t="s">
        <v>89</v>
      </c>
      <c r="B41" s="154">
        <v>3280</v>
      </c>
      <c r="C41" s="263" t="e">
        <f>#REF!+#REF!</f>
        <v>#REF!</v>
      </c>
      <c r="D41" s="263"/>
      <c r="E41" s="94"/>
      <c r="F41" s="94"/>
      <c r="G41" s="94"/>
    </row>
    <row r="42" spans="1:8" ht="41.25" customHeight="1">
      <c r="A42" s="4" t="s">
        <v>90</v>
      </c>
      <c r="B42" s="154">
        <v>3290</v>
      </c>
      <c r="C42" s="263" t="e">
        <f>#REF!+#REF!</f>
        <v>#REF!</v>
      </c>
      <c r="D42" s="263"/>
      <c r="E42" s="94"/>
      <c r="F42" s="94"/>
      <c r="G42" s="94"/>
    </row>
    <row r="43" spans="1:8">
      <c r="A43" s="4" t="s">
        <v>37</v>
      </c>
      <c r="B43" s="154">
        <v>3300</v>
      </c>
      <c r="C43" s="263" t="e">
        <f>#REF!+#REF!</f>
        <v>#REF!</v>
      </c>
      <c r="D43" s="263"/>
      <c r="E43" s="94"/>
      <c r="F43" s="94"/>
      <c r="G43" s="94"/>
    </row>
    <row r="44" spans="1:8">
      <c r="A44" s="4" t="s">
        <v>81</v>
      </c>
      <c r="B44" s="154">
        <v>3310</v>
      </c>
      <c r="C44" s="263" t="e">
        <f>#REF!+#REF!</f>
        <v>#REF!</v>
      </c>
      <c r="D44" s="263"/>
      <c r="E44" s="94"/>
      <c r="F44" s="94"/>
      <c r="G44" s="94"/>
    </row>
    <row r="45" spans="1:8" ht="37.5">
      <c r="A45" s="83" t="s">
        <v>114</v>
      </c>
      <c r="B45" s="154">
        <v>3320</v>
      </c>
      <c r="C45" s="263" t="e">
        <f>#REF!+#REF!</f>
        <v>#REF!</v>
      </c>
      <c r="D45" s="304">
        <f>SUM(D31:D38)+SUM(D40:D44)</f>
        <v>0</v>
      </c>
      <c r="E45" s="94"/>
      <c r="F45" s="94"/>
      <c r="G45" s="94"/>
    </row>
    <row r="46" spans="1:8">
      <c r="A46" s="390" t="s">
        <v>115</v>
      </c>
      <c r="B46" s="390"/>
      <c r="C46" s="390"/>
      <c r="D46" s="390"/>
      <c r="E46" s="390"/>
      <c r="F46" s="390"/>
      <c r="G46" s="390"/>
    </row>
    <row r="47" spans="1:8">
      <c r="A47" s="83" t="s">
        <v>173</v>
      </c>
      <c r="B47" s="154"/>
      <c r="C47" s="30"/>
      <c r="D47" s="30"/>
      <c r="E47" s="30"/>
      <c r="F47" s="30"/>
      <c r="G47" s="30"/>
    </row>
    <row r="48" spans="1:8">
      <c r="A48" s="19" t="s">
        <v>120</v>
      </c>
      <c r="B48" s="154">
        <v>3400</v>
      </c>
      <c r="C48" s="301" t="e">
        <f>#REF!+#REF!</f>
        <v>#REF!</v>
      </c>
      <c r="D48" s="301"/>
      <c r="E48" s="30"/>
      <c r="F48" s="30"/>
      <c r="G48" s="30"/>
    </row>
    <row r="49" spans="1:7" ht="39" customHeight="1">
      <c r="A49" s="4" t="s">
        <v>67</v>
      </c>
      <c r="B49" s="82"/>
      <c r="C49" s="301" t="e">
        <f>#REF!+#REF!</f>
        <v>#REF!</v>
      </c>
      <c r="D49" s="301"/>
      <c r="E49" s="30"/>
      <c r="F49" s="30"/>
      <c r="G49" s="30"/>
    </row>
    <row r="50" spans="1:7" s="106" customFormat="1">
      <c r="A50" s="108" t="s">
        <v>66</v>
      </c>
      <c r="B50" s="165">
        <v>3410</v>
      </c>
      <c r="C50" s="301" t="e">
        <f>#REF!+#REF!</f>
        <v>#REF!</v>
      </c>
      <c r="D50" s="302"/>
      <c r="E50" s="121"/>
      <c r="F50" s="121"/>
      <c r="G50" s="121"/>
    </row>
    <row r="51" spans="1:7" s="106" customFormat="1">
      <c r="A51" s="108" t="s">
        <v>71</v>
      </c>
      <c r="B51" s="164">
        <v>3420</v>
      </c>
      <c r="C51" s="301" t="e">
        <f>#REF!+#REF!</f>
        <v>#REF!</v>
      </c>
      <c r="D51" s="302"/>
      <c r="E51" s="121"/>
      <c r="F51" s="121"/>
      <c r="G51" s="121"/>
    </row>
    <row r="52" spans="1:7" s="106" customFormat="1">
      <c r="A52" s="108" t="s">
        <v>91</v>
      </c>
      <c r="B52" s="165">
        <v>3430</v>
      </c>
      <c r="C52" s="301" t="e">
        <f>#REF!+#REF!</f>
        <v>#REF!</v>
      </c>
      <c r="D52" s="302"/>
      <c r="E52" s="121"/>
      <c r="F52" s="121"/>
      <c r="G52" s="121"/>
    </row>
    <row r="53" spans="1:7" ht="56.25">
      <c r="A53" s="4" t="s">
        <v>69</v>
      </c>
      <c r="B53" s="154"/>
      <c r="C53" s="301" t="e">
        <f>#REF!+#REF!</f>
        <v>#REF!</v>
      </c>
      <c r="D53" s="263"/>
      <c r="E53" s="30"/>
      <c r="F53" s="30"/>
      <c r="G53" s="30"/>
    </row>
    <row r="54" spans="1:7" s="106" customFormat="1">
      <c r="A54" s="108" t="s">
        <v>66</v>
      </c>
      <c r="B54" s="164">
        <v>3440</v>
      </c>
      <c r="C54" s="301" t="e">
        <f>#REF!+#REF!</f>
        <v>#REF!</v>
      </c>
      <c r="D54" s="302"/>
      <c r="E54" s="121"/>
      <c r="F54" s="121"/>
      <c r="G54" s="121"/>
    </row>
    <row r="55" spans="1:7" s="106" customFormat="1">
      <c r="A55" s="108" t="s">
        <v>71</v>
      </c>
      <c r="B55" s="164">
        <v>3450</v>
      </c>
      <c r="C55" s="301" t="e">
        <f>#REF!+#REF!</f>
        <v>#REF!</v>
      </c>
      <c r="D55" s="302"/>
      <c r="E55" s="121"/>
      <c r="F55" s="121"/>
      <c r="G55" s="121"/>
    </row>
    <row r="56" spans="1:7" s="106" customFormat="1">
      <c r="A56" s="108" t="s">
        <v>91</v>
      </c>
      <c r="B56" s="164">
        <v>3460</v>
      </c>
      <c r="C56" s="301" t="e">
        <f>#REF!+#REF!</f>
        <v>#REF!</v>
      </c>
      <c r="D56" s="302"/>
      <c r="E56" s="121"/>
      <c r="F56" s="121"/>
      <c r="G56" s="121"/>
    </row>
    <row r="57" spans="1:7" ht="27.75" customHeight="1">
      <c r="A57" s="4" t="s">
        <v>86</v>
      </c>
      <c r="B57" s="84">
        <v>3470</v>
      </c>
      <c r="C57" s="301" t="e">
        <f>#REF!+#REF!</f>
        <v>#REF!</v>
      </c>
      <c r="D57" s="301">
        <f>D58+D59</f>
        <v>0</v>
      </c>
      <c r="E57" s="30"/>
      <c r="F57" s="30"/>
      <c r="G57" s="30"/>
    </row>
    <row r="58" spans="1:7" hidden="1" outlineLevel="1">
      <c r="A58" s="4"/>
      <c r="B58" s="227"/>
      <c r="C58" s="301"/>
      <c r="D58" s="301"/>
      <c r="E58" s="30"/>
      <c r="F58" s="30"/>
      <c r="G58" s="30"/>
    </row>
    <row r="59" spans="1:7" hidden="1" outlineLevel="1">
      <c r="A59" s="4"/>
      <c r="B59" s="227"/>
      <c r="C59" s="301"/>
      <c r="D59" s="301"/>
      <c r="E59" s="30"/>
      <c r="F59" s="30"/>
      <c r="G59" s="30"/>
    </row>
    <row r="60" spans="1:7" ht="21.75" customHeight="1" collapsed="1">
      <c r="A60" s="4" t="s">
        <v>87</v>
      </c>
      <c r="B60" s="84">
        <v>3480</v>
      </c>
      <c r="C60" s="301" t="e">
        <f>#REF!+#REF!</f>
        <v>#REF!</v>
      </c>
      <c r="D60" s="301"/>
      <c r="E60" s="30"/>
      <c r="F60" s="30"/>
      <c r="G60" s="30"/>
    </row>
    <row r="61" spans="1:7">
      <c r="A61" s="83" t="s">
        <v>174</v>
      </c>
      <c r="B61" s="154"/>
      <c r="C61" s="301"/>
      <c r="D61" s="301"/>
      <c r="E61" s="30"/>
      <c r="F61" s="30"/>
      <c r="G61" s="30"/>
    </row>
    <row r="62" spans="1:7" ht="56.25">
      <c r="A62" s="4" t="s">
        <v>183</v>
      </c>
      <c r="B62" s="154">
        <v>3490</v>
      </c>
      <c r="C62" s="301" t="e">
        <f>#REF!+#REF!</f>
        <v>#REF!</v>
      </c>
      <c r="D62" s="263"/>
      <c r="E62" s="30"/>
      <c r="F62" s="30"/>
      <c r="G62" s="30"/>
    </row>
    <row r="63" spans="1:7" ht="37.5">
      <c r="A63" s="4" t="s">
        <v>184</v>
      </c>
      <c r="B63" s="154">
        <v>3500</v>
      </c>
      <c r="C63" s="301" t="e">
        <f>#REF!+#REF!</f>
        <v>#REF!</v>
      </c>
      <c r="D63" s="301"/>
      <c r="E63" s="30"/>
      <c r="F63" s="30"/>
      <c r="G63" s="30"/>
    </row>
    <row r="64" spans="1:7" ht="56.25">
      <c r="A64" s="79" t="s">
        <v>70</v>
      </c>
      <c r="B64" s="112"/>
      <c r="C64" s="303" t="e">
        <f>C65+C66+C67</f>
        <v>#REF!</v>
      </c>
      <c r="D64" s="303">
        <f>D65+D66+D67</f>
        <v>0</v>
      </c>
      <c r="E64" s="31"/>
      <c r="F64" s="31"/>
      <c r="G64" s="31"/>
    </row>
    <row r="65" spans="1:9" s="106" customFormat="1">
      <c r="A65" s="108" t="s">
        <v>66</v>
      </c>
      <c r="B65" s="164">
        <v>3510</v>
      </c>
      <c r="C65" s="301" t="e">
        <f>#REF!+#REF!</f>
        <v>#REF!</v>
      </c>
      <c r="D65" s="302"/>
      <c r="E65" s="121"/>
      <c r="F65" s="121"/>
      <c r="G65" s="121"/>
    </row>
    <row r="66" spans="1:9" s="106" customFormat="1">
      <c r="A66" s="108" t="s">
        <v>71</v>
      </c>
      <c r="B66" s="164">
        <v>3520</v>
      </c>
      <c r="C66" s="301" t="e">
        <f>#REF!+#REF!</f>
        <v>#REF!</v>
      </c>
      <c r="D66" s="302"/>
      <c r="E66" s="121"/>
      <c r="F66" s="121"/>
      <c r="G66" s="121"/>
    </row>
    <row r="67" spans="1:9" s="106" customFormat="1">
      <c r="A67" s="108" t="s">
        <v>91</v>
      </c>
      <c r="B67" s="164">
        <v>3530</v>
      </c>
      <c r="C67" s="301" t="e">
        <f>#REF!+#REF!</f>
        <v>#REF!</v>
      </c>
      <c r="D67" s="302"/>
      <c r="E67" s="121"/>
      <c r="F67" s="121"/>
      <c r="G67" s="121"/>
    </row>
    <row r="68" spans="1:9" ht="56.25">
      <c r="A68" s="79" t="s">
        <v>68</v>
      </c>
      <c r="B68" s="112"/>
      <c r="C68" s="303" t="e">
        <f>C69+C70+C71</f>
        <v>#REF!</v>
      </c>
      <c r="D68" s="303">
        <f>D69+D70+D71</f>
        <v>0</v>
      </c>
      <c r="E68" s="31"/>
      <c r="F68" s="31"/>
      <c r="G68" s="31"/>
    </row>
    <row r="69" spans="1:9" s="106" customFormat="1">
      <c r="A69" s="108" t="s">
        <v>66</v>
      </c>
      <c r="B69" s="164">
        <v>3540</v>
      </c>
      <c r="C69" s="302" t="e">
        <f>#REF!+#REF!</f>
        <v>#REF!</v>
      </c>
      <c r="D69" s="302"/>
      <c r="E69" s="121"/>
      <c r="F69" s="121"/>
      <c r="G69" s="121"/>
    </row>
    <row r="70" spans="1:9" s="106" customFormat="1">
      <c r="A70" s="108" t="s">
        <v>71</v>
      </c>
      <c r="B70" s="164">
        <v>3550</v>
      </c>
      <c r="C70" s="302" t="e">
        <f>#REF!+#REF!</f>
        <v>#REF!</v>
      </c>
      <c r="D70" s="302"/>
      <c r="E70" s="121"/>
      <c r="F70" s="121"/>
      <c r="G70" s="121"/>
    </row>
    <row r="71" spans="1:9" s="106" customFormat="1">
      <c r="A71" s="108" t="s">
        <v>91</v>
      </c>
      <c r="B71" s="164">
        <v>3560</v>
      </c>
      <c r="C71" s="302" t="e">
        <f>#REF!+#REF!</f>
        <v>#REF!</v>
      </c>
      <c r="D71" s="302"/>
      <c r="E71" s="121"/>
      <c r="F71" s="121"/>
      <c r="G71" s="121"/>
    </row>
    <row r="72" spans="1:9">
      <c r="A72" s="4" t="s">
        <v>81</v>
      </c>
      <c r="B72" s="84">
        <v>3570</v>
      </c>
      <c r="C72" s="302" t="e">
        <f>#REF!+#REF!</f>
        <v>#REF!</v>
      </c>
      <c r="D72" s="263"/>
      <c r="E72" s="30"/>
      <c r="F72" s="30"/>
      <c r="G72" s="30"/>
    </row>
    <row r="73" spans="1:9" ht="37.5">
      <c r="A73" s="83" t="s">
        <v>116</v>
      </c>
      <c r="B73" s="84">
        <v>3580</v>
      </c>
      <c r="C73" s="301" t="e">
        <f>#REF!+#REF!</f>
        <v>#REF!</v>
      </c>
      <c r="D73" s="304">
        <f>SUM(D48:D57)+D60+SUM(D62:D72)</f>
        <v>0</v>
      </c>
      <c r="E73" s="30"/>
      <c r="F73" s="30"/>
      <c r="G73" s="30"/>
    </row>
    <row r="74" spans="1:9">
      <c r="A74" s="4" t="s">
        <v>16</v>
      </c>
      <c r="B74" s="84"/>
      <c r="C74" s="291">
        <f>C75+C77</f>
        <v>973.95138374544467</v>
      </c>
      <c r="D74" s="94">
        <f>D75+D77</f>
        <v>2817</v>
      </c>
      <c r="E74" s="94">
        <f>D74-C74</f>
        <v>1843.0486162545553</v>
      </c>
      <c r="F74" s="94">
        <f>D74/C74*100</f>
        <v>289.23414936450882</v>
      </c>
      <c r="G74" s="30"/>
    </row>
    <row r="75" spans="1:9">
      <c r="A75" s="156" t="s">
        <v>17</v>
      </c>
      <c r="B75" s="157">
        <v>3600</v>
      </c>
      <c r="C75" s="158">
        <v>475.50069187272231</v>
      </c>
      <c r="D75" s="158">
        <v>648</v>
      </c>
      <c r="E75" s="158">
        <f>D75-C75</f>
        <v>172.49930812727769</v>
      </c>
      <c r="F75" s="158">
        <f>D75/C75*100</f>
        <v>136.27740423424046</v>
      </c>
      <c r="G75" s="119"/>
      <c r="H75" s="232">
        <f>D75-(D28+D74)</f>
        <v>-2226.8359999999975</v>
      </c>
      <c r="I75" s="232">
        <f>D75+D78</f>
        <v>775.6359999999986</v>
      </c>
    </row>
    <row r="76" spans="1:9" ht="37.5">
      <c r="A76" s="150" t="s">
        <v>121</v>
      </c>
      <c r="B76" s="84">
        <v>3610</v>
      </c>
      <c r="C76" s="39">
        <v>0</v>
      </c>
      <c r="D76" s="39">
        <v>0</v>
      </c>
      <c r="E76" s="39"/>
      <c r="F76" s="39"/>
      <c r="G76" s="31"/>
    </row>
    <row r="77" spans="1:9">
      <c r="A77" s="156" t="s">
        <v>38</v>
      </c>
      <c r="B77" s="157">
        <v>3620</v>
      </c>
      <c r="C77" s="158">
        <v>498.45069187272236</v>
      </c>
      <c r="D77" s="158">
        <v>2169</v>
      </c>
      <c r="E77" s="158">
        <f>D77-C77</f>
        <v>1670.5493081272775</v>
      </c>
      <c r="F77" s="158">
        <f>D77/C77*100</f>
        <v>435.14835777454317</v>
      </c>
      <c r="G77" s="119"/>
      <c r="H77" s="158">
        <f>D78+D75+D76</f>
        <v>775.6359999999986</v>
      </c>
      <c r="I77" s="232">
        <f>D77-H77</f>
        <v>1393.3640000000014</v>
      </c>
    </row>
    <row r="78" spans="1:9">
      <c r="A78" s="79" t="s">
        <v>18</v>
      </c>
      <c r="B78" s="84">
        <v>3630</v>
      </c>
      <c r="C78" s="39">
        <v>22.999999999999261</v>
      </c>
      <c r="D78" s="39">
        <f>D8+D28+D45+D73</f>
        <v>127.6359999999986</v>
      </c>
      <c r="E78" s="39">
        <f>D78-C78</f>
        <v>104.63599999999934</v>
      </c>
      <c r="F78" s="39">
        <f>D78/C78*100</f>
        <v>554.93913043479438</v>
      </c>
      <c r="G78" s="31"/>
    </row>
    <row r="79" spans="1:9" ht="26.25" customHeight="1">
      <c r="B79" s="159"/>
      <c r="C79" s="160"/>
      <c r="D79" s="160"/>
      <c r="E79" s="160"/>
      <c r="F79" s="161"/>
      <c r="G79" s="161"/>
    </row>
    <row r="80" spans="1:9">
      <c r="A80" s="136" t="s">
        <v>310</v>
      </c>
      <c r="B80" s="153"/>
      <c r="C80" s="249" t="s">
        <v>334</v>
      </c>
      <c r="D80" s="152"/>
      <c r="E80" s="368" t="s">
        <v>271</v>
      </c>
      <c r="F80" s="368"/>
      <c r="G80" s="368"/>
    </row>
    <row r="81" spans="1:7">
      <c r="A81" s="134" t="s">
        <v>333</v>
      </c>
      <c r="B81" s="11"/>
      <c r="C81" s="91" t="s">
        <v>57</v>
      </c>
      <c r="D81" s="13"/>
      <c r="E81" s="394" t="s">
        <v>74</v>
      </c>
      <c r="F81" s="394"/>
      <c r="G81" s="394"/>
    </row>
    <row r="82" spans="1:7">
      <c r="D82" s="2">
        <f>'1.Фінансовий результат'!D99</f>
        <v>57.236000000000793</v>
      </c>
    </row>
    <row r="83" spans="1:7">
      <c r="D83" s="16">
        <f>D8+D28</f>
        <v>127.6359999999986</v>
      </c>
    </row>
    <row r="84" spans="1:7">
      <c r="C84" s="16">
        <f>C75-C77</f>
        <v>-22.950000000000045</v>
      </c>
      <c r="D84" s="16">
        <f>D75-D77</f>
        <v>-1521</v>
      </c>
    </row>
  </sheetData>
  <mergeCells count="9">
    <mergeCell ref="A46:G46"/>
    <mergeCell ref="E80:G80"/>
    <mergeCell ref="E81:G81"/>
    <mergeCell ref="A1:G1"/>
    <mergeCell ref="A4:A5"/>
    <mergeCell ref="B4:B5"/>
    <mergeCell ref="C4:G4"/>
    <mergeCell ref="A7:G7"/>
    <mergeCell ref="A29:G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38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H187"/>
  <sheetViews>
    <sheetView view="pageBreakPreview" zoomScale="60" workbookViewId="0">
      <selection activeCell="C9" sqref="C9"/>
    </sheetView>
  </sheetViews>
  <sheetFormatPr defaultRowHeight="18.75"/>
  <cols>
    <col min="1" max="1" width="52.85546875" style="93" customWidth="1"/>
    <col min="2" max="2" width="10.7109375" style="11" customWidth="1"/>
    <col min="3" max="3" width="13.42578125" style="93" customWidth="1"/>
    <col min="4" max="4" width="13" style="93" customWidth="1"/>
    <col min="5" max="5" width="10.7109375" style="93" bestFit="1" customWidth="1"/>
    <col min="6" max="6" width="11.7109375" style="93" customWidth="1"/>
    <col min="7" max="7" width="18.28515625" style="93" customWidth="1"/>
    <col min="8" max="8" width="15.140625" customWidth="1"/>
  </cols>
  <sheetData>
    <row r="2" spans="1:8">
      <c r="A2" s="359" t="s">
        <v>439</v>
      </c>
      <c r="B2" s="359"/>
      <c r="C2" s="359"/>
      <c r="D2" s="359"/>
      <c r="E2" s="359"/>
      <c r="F2" s="359"/>
      <c r="G2" s="359"/>
    </row>
    <row r="3" spans="1:8">
      <c r="A3" s="404"/>
      <c r="B3" s="404"/>
      <c r="C3" s="404"/>
      <c r="D3" s="404"/>
      <c r="E3" s="404"/>
      <c r="F3" s="404"/>
      <c r="G3" s="404"/>
    </row>
    <row r="4" spans="1:8" ht="18.75" customHeight="1">
      <c r="A4" s="354" t="s">
        <v>169</v>
      </c>
      <c r="B4" s="355" t="s">
        <v>5</v>
      </c>
      <c r="C4" s="393" t="s">
        <v>307</v>
      </c>
      <c r="D4" s="393"/>
      <c r="E4" s="393"/>
      <c r="F4" s="393"/>
      <c r="G4" s="402" t="s">
        <v>312</v>
      </c>
    </row>
    <row r="5" spans="1:8" ht="57.75" customHeight="1">
      <c r="A5" s="354"/>
      <c r="B5" s="356"/>
      <c r="C5" s="99" t="s">
        <v>305</v>
      </c>
      <c r="D5" s="99" t="s">
        <v>308</v>
      </c>
      <c r="E5" s="99" t="s">
        <v>309</v>
      </c>
      <c r="F5" s="99" t="s">
        <v>311</v>
      </c>
      <c r="G5" s="403"/>
    </row>
    <row r="6" spans="1:8">
      <c r="A6" s="84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</row>
    <row r="7" spans="1:8" ht="37.5">
      <c r="A7" s="166" t="s">
        <v>59</v>
      </c>
      <c r="B7" s="167">
        <v>4000</v>
      </c>
      <c r="C7" s="168">
        <f>C8+C9+C14+C15+C16</f>
        <v>6464.6</v>
      </c>
      <c r="D7" s="168">
        <f>D8+D9+D14+D15+D16</f>
        <v>3733</v>
      </c>
      <c r="E7" s="168">
        <f>D7-C7</f>
        <v>-2731.6000000000004</v>
      </c>
      <c r="F7" s="39">
        <f>D7/C7*100</f>
        <v>57.745258794047579</v>
      </c>
      <c r="G7" s="169"/>
    </row>
    <row r="8" spans="1:8">
      <c r="A8" s="4" t="s">
        <v>269</v>
      </c>
      <c r="B8" s="29" t="s">
        <v>155</v>
      </c>
      <c r="C8" s="168">
        <v>0</v>
      </c>
      <c r="D8" s="39">
        <v>0</v>
      </c>
      <c r="E8" s="168">
        <f t="shared" ref="E8:E18" si="0">D8-C8</f>
        <v>0</v>
      </c>
      <c r="F8" s="235" t="e">
        <f t="shared" ref="F8:F18" si="1">D8/C8*100</f>
        <v>#DIV/0!</v>
      </c>
      <c r="G8" s="30"/>
    </row>
    <row r="9" spans="1:8" ht="37.5">
      <c r="A9" s="79" t="s">
        <v>335</v>
      </c>
      <c r="B9" s="28">
        <v>4020</v>
      </c>
      <c r="C9" s="39">
        <f>C10+C11+C12+C13</f>
        <v>5486</v>
      </c>
      <c r="D9" s="39">
        <f>D10+D11+D12+D13</f>
        <v>3733</v>
      </c>
      <c r="E9" s="168">
        <f>D9-C9</f>
        <v>-1753</v>
      </c>
      <c r="F9" s="169">
        <f t="shared" si="1"/>
        <v>68.045935107546484</v>
      </c>
      <c r="G9" s="30"/>
    </row>
    <row r="10" spans="1:8" ht="36" customHeight="1">
      <c r="A10" s="97" t="s">
        <v>424</v>
      </c>
      <c r="B10" s="29" t="s">
        <v>270</v>
      </c>
      <c r="C10" s="175">
        <v>205.5</v>
      </c>
      <c r="D10" s="53">
        <v>0</v>
      </c>
      <c r="E10" s="175">
        <f t="shared" si="0"/>
        <v>-205.5</v>
      </c>
      <c r="F10" s="179">
        <f t="shared" si="1"/>
        <v>0</v>
      </c>
      <c r="G10" s="123"/>
    </row>
    <row r="11" spans="1:8" ht="19.5" customHeight="1">
      <c r="A11" s="52" t="s">
        <v>425</v>
      </c>
      <c r="B11" s="29" t="s">
        <v>300</v>
      </c>
      <c r="C11" s="175">
        <v>1890</v>
      </c>
      <c r="D11" s="104">
        <v>2335</v>
      </c>
      <c r="E11" s="175">
        <f t="shared" si="0"/>
        <v>445</v>
      </c>
      <c r="F11" s="175">
        <f t="shared" si="1"/>
        <v>123.54497354497353</v>
      </c>
      <c r="G11" s="176"/>
    </row>
    <row r="12" spans="1:8" ht="37.5" customHeight="1">
      <c r="A12" s="52" t="s">
        <v>426</v>
      </c>
      <c r="B12" s="29" t="s">
        <v>303</v>
      </c>
      <c r="C12" s="175">
        <v>890.5</v>
      </c>
      <c r="D12" s="102">
        <v>1398</v>
      </c>
      <c r="E12" s="175">
        <f t="shared" si="0"/>
        <v>507.5</v>
      </c>
      <c r="F12" s="175">
        <f t="shared" si="1"/>
        <v>156.99045480067377</v>
      </c>
      <c r="G12" s="176"/>
    </row>
    <row r="13" spans="1:8" ht="18.75" customHeight="1">
      <c r="A13" s="52" t="s">
        <v>427</v>
      </c>
      <c r="B13" s="29" t="s">
        <v>304</v>
      </c>
      <c r="C13" s="175">
        <v>2500</v>
      </c>
      <c r="D13" s="102">
        <v>0</v>
      </c>
      <c r="E13" s="272">
        <f t="shared" si="0"/>
        <v>-2500</v>
      </c>
      <c r="F13" s="237">
        <f t="shared" si="1"/>
        <v>0</v>
      </c>
      <c r="G13" s="32"/>
    </row>
    <row r="14" spans="1:8" s="106" customFormat="1" ht="36.75" customHeight="1">
      <c r="A14" s="98" t="s">
        <v>13</v>
      </c>
      <c r="B14" s="29">
        <v>4030</v>
      </c>
      <c r="C14" s="168">
        <v>0</v>
      </c>
      <c r="D14" s="39">
        <v>0</v>
      </c>
      <c r="E14" s="174">
        <f t="shared" si="0"/>
        <v>0</v>
      </c>
      <c r="F14" s="238" t="e">
        <f t="shared" si="1"/>
        <v>#DIV/0!</v>
      </c>
      <c r="G14" s="121"/>
      <c r="H14"/>
    </row>
    <row r="15" spans="1:8" ht="37.5">
      <c r="A15" s="79" t="s">
        <v>1</v>
      </c>
      <c r="B15" s="28">
        <v>4040</v>
      </c>
      <c r="C15" s="168">
        <v>0</v>
      </c>
      <c r="D15" s="94">
        <v>0</v>
      </c>
      <c r="E15" s="168">
        <f t="shared" si="0"/>
        <v>0</v>
      </c>
      <c r="F15" s="235" t="e">
        <f t="shared" si="1"/>
        <v>#DIV/0!</v>
      </c>
      <c r="G15" s="30"/>
    </row>
    <row r="16" spans="1:8" ht="56.25" customHeight="1">
      <c r="A16" s="79" t="s">
        <v>336</v>
      </c>
      <c r="B16" s="29">
        <v>4050</v>
      </c>
      <c r="C16" s="168">
        <f>C17+C18</f>
        <v>978.6</v>
      </c>
      <c r="D16" s="168">
        <f>D17+D18</f>
        <v>0</v>
      </c>
      <c r="E16" s="168">
        <f t="shared" si="0"/>
        <v>-978.6</v>
      </c>
      <c r="F16" s="235">
        <f t="shared" si="1"/>
        <v>0</v>
      </c>
      <c r="G16" s="30"/>
    </row>
    <row r="17" spans="1:7" ht="38.25" customHeight="1">
      <c r="A17" s="282" t="s">
        <v>428</v>
      </c>
      <c r="B17" s="177" t="s">
        <v>337</v>
      </c>
      <c r="C17" s="175">
        <v>199.5</v>
      </c>
      <c r="D17" s="178">
        <v>0</v>
      </c>
      <c r="E17" s="175">
        <f t="shared" si="0"/>
        <v>-199.5</v>
      </c>
      <c r="F17" s="236">
        <f t="shared" si="1"/>
        <v>0</v>
      </c>
      <c r="G17" s="176"/>
    </row>
    <row r="18" spans="1:7" ht="36" customHeight="1">
      <c r="A18" s="282" t="s">
        <v>429</v>
      </c>
      <c r="B18" s="48" t="s">
        <v>298</v>
      </c>
      <c r="C18" s="175">
        <v>779.1</v>
      </c>
      <c r="D18" s="334">
        <v>0</v>
      </c>
      <c r="E18" s="175">
        <f t="shared" si="0"/>
        <v>-779.1</v>
      </c>
      <c r="F18" s="236">
        <f t="shared" si="1"/>
        <v>0</v>
      </c>
      <c r="G18" s="176"/>
    </row>
    <row r="19" spans="1:7">
      <c r="A19" s="82"/>
      <c r="B19" s="2"/>
    </row>
    <row r="20" spans="1:7">
      <c r="A20" s="136" t="s">
        <v>310</v>
      </c>
      <c r="B20" s="1"/>
      <c r="C20" s="173"/>
      <c r="D20" s="173"/>
      <c r="F20" s="391" t="s">
        <v>339</v>
      </c>
      <c r="G20" s="391"/>
    </row>
    <row r="21" spans="1:7" s="103" customFormat="1" ht="12.75">
      <c r="A21" s="109" t="s">
        <v>333</v>
      </c>
      <c r="B21" s="110"/>
      <c r="C21" s="171" t="s">
        <v>57</v>
      </c>
      <c r="D21" s="111"/>
      <c r="E21" s="361" t="s">
        <v>338</v>
      </c>
      <c r="F21" s="361"/>
      <c r="G21" s="361"/>
    </row>
    <row r="22" spans="1:7">
      <c r="A22" s="20"/>
    </row>
    <row r="23" spans="1:7">
      <c r="A23" s="20"/>
    </row>
    <row r="24" spans="1:7">
      <c r="A24" s="20"/>
    </row>
    <row r="25" spans="1:7">
      <c r="A25" s="20"/>
    </row>
    <row r="26" spans="1:7">
      <c r="A26" s="20"/>
    </row>
    <row r="27" spans="1:7">
      <c r="A27" s="20"/>
    </row>
    <row r="28" spans="1:7">
      <c r="A28" s="20"/>
    </row>
    <row r="29" spans="1:7">
      <c r="A29" s="20"/>
    </row>
    <row r="30" spans="1:7">
      <c r="A30" s="20"/>
    </row>
    <row r="31" spans="1:7">
      <c r="A31" s="20"/>
    </row>
    <row r="32" spans="1:7">
      <c r="A32" s="20"/>
    </row>
    <row r="33" spans="1:1">
      <c r="A33" s="20"/>
    </row>
    <row r="34" spans="1:1">
      <c r="A34" s="20"/>
    </row>
    <row r="35" spans="1:1">
      <c r="A35" s="20"/>
    </row>
    <row r="36" spans="1:1">
      <c r="A36" s="20"/>
    </row>
    <row r="37" spans="1:1">
      <c r="A37" s="20"/>
    </row>
    <row r="38" spans="1:1">
      <c r="A38" s="20"/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20"/>
    </row>
    <row r="61" spans="1:1">
      <c r="A61" s="20"/>
    </row>
    <row r="62" spans="1:1">
      <c r="A62" s="20"/>
    </row>
    <row r="63" spans="1:1">
      <c r="A63" s="20"/>
    </row>
    <row r="64" spans="1:1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  <row r="108" spans="1:1">
      <c r="A108" s="20"/>
    </row>
    <row r="109" spans="1:1">
      <c r="A109" s="20"/>
    </row>
    <row r="110" spans="1:1">
      <c r="A110" s="20"/>
    </row>
    <row r="111" spans="1:1">
      <c r="A111" s="20"/>
    </row>
    <row r="112" spans="1:1">
      <c r="A112" s="20"/>
    </row>
    <row r="113" spans="1:1">
      <c r="A113" s="20"/>
    </row>
    <row r="114" spans="1:1">
      <c r="A114" s="20"/>
    </row>
    <row r="115" spans="1:1">
      <c r="A115" s="20"/>
    </row>
    <row r="116" spans="1:1">
      <c r="A116" s="20"/>
    </row>
    <row r="117" spans="1:1">
      <c r="A117" s="20"/>
    </row>
    <row r="118" spans="1:1">
      <c r="A118" s="20"/>
    </row>
    <row r="119" spans="1:1">
      <c r="A119" s="20"/>
    </row>
    <row r="120" spans="1:1">
      <c r="A120" s="20"/>
    </row>
    <row r="121" spans="1:1">
      <c r="A121" s="20"/>
    </row>
    <row r="122" spans="1:1">
      <c r="A122" s="20"/>
    </row>
    <row r="123" spans="1:1">
      <c r="A123" s="20"/>
    </row>
    <row r="124" spans="1:1">
      <c r="A124" s="20"/>
    </row>
    <row r="125" spans="1:1">
      <c r="A125" s="20"/>
    </row>
    <row r="126" spans="1:1">
      <c r="A126" s="20"/>
    </row>
    <row r="127" spans="1:1">
      <c r="A127" s="20"/>
    </row>
    <row r="128" spans="1:1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</sheetData>
  <mergeCells count="8">
    <mergeCell ref="E21:G21"/>
    <mergeCell ref="F20:G20"/>
    <mergeCell ref="C4:F4"/>
    <mergeCell ref="G4:G5"/>
    <mergeCell ref="A2:G2"/>
    <mergeCell ref="A3:G3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X95"/>
  <sheetViews>
    <sheetView view="pageBreakPreview" topLeftCell="A22" zoomScale="60" zoomScaleNormal="75" workbookViewId="0">
      <selection activeCell="B12" sqref="B12"/>
    </sheetView>
  </sheetViews>
  <sheetFormatPr defaultRowHeight="18.75"/>
  <cols>
    <col min="1" max="1" width="25.140625" style="2" customWidth="1"/>
    <col min="2" max="2" width="13.7109375" style="8" customWidth="1"/>
    <col min="3" max="3" width="11.85546875" style="2" customWidth="1"/>
    <col min="4" max="4" width="11.42578125" style="2" customWidth="1"/>
    <col min="5" max="6" width="12" style="2" customWidth="1"/>
    <col min="7" max="7" width="9.140625" style="2" customWidth="1"/>
    <col min="8" max="8" width="10.28515625" style="2" customWidth="1"/>
    <col min="9" max="9" width="9.85546875" style="2" customWidth="1"/>
    <col min="10" max="10" width="13.7109375" style="2" customWidth="1"/>
    <col min="11" max="11" width="9.140625" style="2"/>
    <col min="12" max="12" width="9.85546875" style="2" customWidth="1"/>
    <col min="13" max="13" width="10.28515625" style="2" customWidth="1"/>
    <col min="14" max="14" width="7.42578125" style="2" customWidth="1"/>
    <col min="15" max="15" width="8" style="2" customWidth="1"/>
    <col min="16" max="16" width="9.5703125" style="2" customWidth="1"/>
    <col min="17" max="18" width="8.42578125" style="2" customWidth="1"/>
    <col min="19" max="19" width="9.140625" style="2"/>
    <col min="20" max="20" width="7.28515625" style="2" customWidth="1"/>
    <col min="21" max="21" width="9.5703125" style="2" customWidth="1"/>
    <col min="22" max="22" width="10.140625" style="2" customWidth="1"/>
    <col min="23" max="23" width="11.7109375" style="2" customWidth="1"/>
    <col min="24" max="24" width="11.42578125" style="2" customWidth="1"/>
  </cols>
  <sheetData>
    <row r="1" spans="1:24">
      <c r="B1" s="2"/>
    </row>
    <row r="2" spans="1:24">
      <c r="A2" s="359" t="s">
        <v>372</v>
      </c>
      <c r="B2" s="359"/>
      <c r="C2" s="359"/>
      <c r="D2" s="359"/>
      <c r="E2" s="359"/>
      <c r="F2" s="359"/>
      <c r="G2" s="359"/>
      <c r="H2" s="87"/>
      <c r="K2" s="95"/>
      <c r="L2" s="95"/>
      <c r="M2" s="95"/>
      <c r="N2" s="95"/>
      <c r="O2" s="95"/>
    </row>
    <row r="3" spans="1:24">
      <c r="A3" s="359" t="s">
        <v>440</v>
      </c>
      <c r="B3" s="359"/>
      <c r="C3" s="359"/>
      <c r="D3" s="359"/>
      <c r="E3" s="359"/>
      <c r="F3" s="359"/>
      <c r="G3" s="359"/>
      <c r="H3" s="87"/>
      <c r="K3" s="95"/>
      <c r="L3" s="95"/>
      <c r="M3" s="95"/>
      <c r="N3" s="95"/>
      <c r="O3" s="95"/>
    </row>
    <row r="4" spans="1:24">
      <c r="A4" s="359" t="s">
        <v>373</v>
      </c>
      <c r="B4" s="359"/>
      <c r="C4" s="359"/>
      <c r="D4" s="359"/>
      <c r="E4" s="359"/>
      <c r="F4" s="359"/>
      <c r="G4" s="359"/>
      <c r="H4" s="87"/>
      <c r="K4" s="11"/>
      <c r="L4" s="11"/>
      <c r="M4" s="11"/>
      <c r="N4" s="11"/>
      <c r="O4" s="11"/>
    </row>
    <row r="5" spans="1:24">
      <c r="A5" s="411" t="s">
        <v>96</v>
      </c>
      <c r="B5" s="411"/>
      <c r="C5" s="411"/>
      <c r="D5" s="411"/>
      <c r="E5" s="411"/>
      <c r="F5" s="411"/>
      <c r="G5" s="411"/>
      <c r="H5" s="170"/>
      <c r="K5" s="75"/>
      <c r="L5" s="75"/>
      <c r="M5" s="75"/>
      <c r="N5" s="75"/>
      <c r="O5" s="75"/>
    </row>
    <row r="6" spans="1:24">
      <c r="A6" s="359" t="s">
        <v>374</v>
      </c>
      <c r="B6" s="359"/>
      <c r="C6" s="359"/>
      <c r="D6" s="359"/>
      <c r="E6" s="359"/>
      <c r="F6" s="359"/>
      <c r="G6" s="359"/>
      <c r="H6" s="3"/>
      <c r="K6" s="3"/>
      <c r="L6" s="3"/>
      <c r="M6" s="3"/>
      <c r="N6" s="3"/>
      <c r="O6" s="3"/>
    </row>
    <row r="7" spans="1:24">
      <c r="A7" s="412" t="s">
        <v>199</v>
      </c>
      <c r="B7" s="412"/>
      <c r="C7" s="412"/>
      <c r="D7" s="412"/>
      <c r="E7" s="412"/>
      <c r="F7" s="412"/>
      <c r="G7" s="412"/>
      <c r="H7" s="93"/>
    </row>
    <row r="8" spans="1:24" ht="47.25">
      <c r="A8" s="84" t="s">
        <v>169</v>
      </c>
      <c r="B8" s="196" t="s">
        <v>375</v>
      </c>
      <c r="C8" s="196" t="s">
        <v>376</v>
      </c>
      <c r="D8" s="401" t="s">
        <v>377</v>
      </c>
      <c r="E8" s="401"/>
      <c r="F8" s="401" t="s">
        <v>378</v>
      </c>
      <c r="G8" s="407"/>
      <c r="H8" s="22"/>
      <c r="I8" s="22"/>
      <c r="J8" s="22"/>
      <c r="K8" s="22"/>
      <c r="L8" s="22"/>
      <c r="M8" s="22"/>
      <c r="N8" s="408"/>
      <c r="O8" s="408"/>
      <c r="P8" s="93"/>
      <c r="Q8" s="93"/>
      <c r="R8" s="93"/>
      <c r="S8" s="93"/>
      <c r="T8" s="93"/>
      <c r="U8" s="93"/>
      <c r="V8" s="93"/>
      <c r="W8" s="93"/>
      <c r="X8" s="93"/>
    </row>
    <row r="9" spans="1:24">
      <c r="A9" s="84">
        <v>1</v>
      </c>
      <c r="B9" s="48">
        <v>2</v>
      </c>
      <c r="C9" s="48">
        <v>3</v>
      </c>
      <c r="D9" s="409">
        <v>4</v>
      </c>
      <c r="E9" s="409"/>
      <c r="F9" s="409">
        <v>5</v>
      </c>
      <c r="G9" s="410"/>
      <c r="H9" s="22"/>
      <c r="I9" s="22"/>
      <c r="J9" s="22"/>
      <c r="K9" s="22"/>
      <c r="L9" s="22"/>
      <c r="M9" s="22"/>
      <c r="N9" s="408"/>
      <c r="O9" s="408"/>
      <c r="P9" s="93"/>
      <c r="Q9" s="93"/>
      <c r="R9" s="93"/>
      <c r="S9" s="93"/>
      <c r="T9" s="93"/>
      <c r="U9" s="93"/>
      <c r="V9" s="93"/>
      <c r="W9" s="93"/>
      <c r="X9" s="93"/>
    </row>
    <row r="10" spans="1:24" ht="51" customHeight="1">
      <c r="A10" s="49" t="s">
        <v>97</v>
      </c>
      <c r="B10" s="77">
        <f>B11+B12+B13+B14+B15</f>
        <v>98</v>
      </c>
      <c r="C10" s="327">
        <f>C11+C12+C13+C14+C15</f>
        <v>97</v>
      </c>
      <c r="D10" s="413">
        <f>C10-B10</f>
        <v>-1</v>
      </c>
      <c r="E10" s="413"/>
      <c r="F10" s="414">
        <f>C10/B10*100</f>
        <v>98.979591836734699</v>
      </c>
      <c r="G10" s="415"/>
      <c r="H10" s="90"/>
      <c r="I10" s="90"/>
      <c r="J10" s="90"/>
      <c r="K10" s="90"/>
      <c r="L10" s="90"/>
      <c r="M10" s="90"/>
      <c r="N10" s="405"/>
      <c r="O10" s="405"/>
      <c r="P10" s="93"/>
      <c r="Q10" s="93"/>
      <c r="R10" s="93"/>
      <c r="S10" s="93"/>
      <c r="T10" s="93"/>
      <c r="U10" s="93"/>
      <c r="V10" s="93"/>
      <c r="W10" s="93"/>
      <c r="X10" s="93"/>
    </row>
    <row r="11" spans="1:24">
      <c r="A11" s="33" t="s">
        <v>185</v>
      </c>
      <c r="B11" s="89">
        <v>4</v>
      </c>
      <c r="C11" s="332">
        <v>4</v>
      </c>
      <c r="D11" s="413">
        <f t="shared" ref="D11:D31" si="0">C11-B11</f>
        <v>0</v>
      </c>
      <c r="E11" s="413"/>
      <c r="F11" s="414">
        <f t="shared" ref="F11:F32" si="1">C11/B11*100</f>
        <v>100</v>
      </c>
      <c r="G11" s="415"/>
      <c r="H11" s="90"/>
      <c r="I11" s="90"/>
      <c r="J11" s="90"/>
      <c r="K11" s="90"/>
      <c r="L11" s="90"/>
      <c r="M11" s="90"/>
      <c r="N11" s="405"/>
      <c r="O11" s="405"/>
      <c r="P11" s="93"/>
      <c r="Q11" s="93"/>
      <c r="R11" s="93"/>
      <c r="S11" s="93"/>
      <c r="T11" s="93"/>
      <c r="U11" s="93"/>
      <c r="V11" s="93"/>
      <c r="W11" s="93"/>
      <c r="X11" s="93"/>
    </row>
    <row r="12" spans="1:24">
      <c r="A12" s="33" t="s">
        <v>186</v>
      </c>
      <c r="B12" s="89">
        <v>7</v>
      </c>
      <c r="C12" s="332">
        <v>6</v>
      </c>
      <c r="D12" s="413">
        <f>C12-B12</f>
        <v>-1</v>
      </c>
      <c r="E12" s="413"/>
      <c r="F12" s="414">
        <f t="shared" si="1"/>
        <v>85.714285714285708</v>
      </c>
      <c r="G12" s="415"/>
      <c r="H12" s="90"/>
      <c r="I12" s="90"/>
      <c r="J12" s="90"/>
      <c r="K12" s="90"/>
      <c r="L12" s="90"/>
      <c r="M12" s="90"/>
      <c r="N12" s="405"/>
      <c r="O12" s="405"/>
      <c r="P12" s="93"/>
      <c r="Q12" s="93"/>
      <c r="R12" s="93"/>
      <c r="S12" s="93"/>
      <c r="T12" s="93"/>
      <c r="U12" s="93"/>
      <c r="V12" s="93"/>
      <c r="W12" s="93"/>
      <c r="X12" s="93"/>
    </row>
    <row r="13" spans="1:24">
      <c r="A13" s="33" t="s">
        <v>187</v>
      </c>
      <c r="B13" s="89">
        <v>2</v>
      </c>
      <c r="C13" s="332">
        <v>2</v>
      </c>
      <c r="D13" s="413">
        <f t="shared" si="0"/>
        <v>0</v>
      </c>
      <c r="E13" s="413"/>
      <c r="F13" s="414">
        <f t="shared" si="1"/>
        <v>100</v>
      </c>
      <c r="G13" s="415"/>
      <c r="H13" s="90"/>
      <c r="I13" s="90"/>
      <c r="J13" s="90"/>
      <c r="K13" s="90"/>
      <c r="L13" s="90"/>
      <c r="M13" s="90"/>
      <c r="N13" s="405"/>
      <c r="O13" s="405"/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1.75" customHeight="1">
      <c r="A14" s="33" t="s">
        <v>188</v>
      </c>
      <c r="B14" s="89">
        <v>2</v>
      </c>
      <c r="C14" s="332">
        <v>2</v>
      </c>
      <c r="D14" s="413">
        <f t="shared" si="0"/>
        <v>0</v>
      </c>
      <c r="E14" s="413"/>
      <c r="F14" s="414">
        <f t="shared" si="1"/>
        <v>100</v>
      </c>
      <c r="G14" s="415"/>
      <c r="H14" s="90"/>
      <c r="I14" s="90"/>
      <c r="J14" s="90"/>
      <c r="K14" s="90"/>
      <c r="L14" s="90"/>
      <c r="M14" s="90"/>
      <c r="N14" s="405"/>
      <c r="O14" s="405"/>
      <c r="P14" s="93"/>
      <c r="Q14" s="93"/>
      <c r="R14" s="93"/>
      <c r="S14" s="93"/>
      <c r="T14" s="93"/>
      <c r="U14" s="93"/>
      <c r="V14" s="93"/>
      <c r="W14" s="93"/>
      <c r="X14" s="93"/>
    </row>
    <row r="15" spans="1:24">
      <c r="A15" s="33" t="s">
        <v>189</v>
      </c>
      <c r="B15" s="89">
        <v>83</v>
      </c>
      <c r="C15" s="332">
        <v>83</v>
      </c>
      <c r="D15" s="413">
        <f t="shared" si="0"/>
        <v>0</v>
      </c>
      <c r="E15" s="413"/>
      <c r="F15" s="414">
        <f t="shared" si="1"/>
        <v>100</v>
      </c>
      <c r="G15" s="415"/>
      <c r="H15" s="90"/>
      <c r="I15" s="90"/>
      <c r="J15" s="90"/>
      <c r="K15" s="90"/>
      <c r="L15" s="90"/>
      <c r="M15" s="90"/>
      <c r="N15" s="405"/>
      <c r="O15" s="405"/>
      <c r="P15" s="93"/>
      <c r="Q15" s="93"/>
      <c r="R15" s="93"/>
      <c r="S15" s="93"/>
      <c r="T15" s="93"/>
      <c r="U15" s="93"/>
      <c r="V15" s="93"/>
      <c r="W15" s="93"/>
      <c r="X15" s="93"/>
    </row>
    <row r="16" spans="1:24">
      <c r="A16" s="33" t="s">
        <v>190</v>
      </c>
      <c r="B16" s="33"/>
      <c r="C16" s="33"/>
      <c r="D16" s="413"/>
      <c r="E16" s="413"/>
      <c r="F16" s="414"/>
      <c r="G16" s="415"/>
      <c r="H16" s="90"/>
      <c r="I16" s="90"/>
      <c r="J16" s="90"/>
      <c r="K16" s="90"/>
      <c r="L16" s="90"/>
      <c r="M16" s="90"/>
      <c r="N16" s="405"/>
      <c r="O16" s="405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48" customHeight="1">
      <c r="A17" s="49" t="s">
        <v>175</v>
      </c>
      <c r="B17" s="77">
        <f>'1.Фінансовий результат'!C107</f>
        <v>11189.5</v>
      </c>
      <c r="C17" s="197">
        <f>'1.Фінансовий результат'!D107</f>
        <v>11702</v>
      </c>
      <c r="D17" s="414">
        <f t="shared" si="0"/>
        <v>512.5</v>
      </c>
      <c r="E17" s="414"/>
      <c r="F17" s="414">
        <f t="shared" si="1"/>
        <v>104.58018678225123</v>
      </c>
      <c r="G17" s="415"/>
      <c r="H17" s="90"/>
      <c r="I17" s="90"/>
      <c r="J17" s="90"/>
      <c r="K17" s="90"/>
      <c r="L17" s="90"/>
      <c r="M17" s="90"/>
      <c r="N17" s="405"/>
      <c r="O17" s="405"/>
      <c r="P17" s="93"/>
      <c r="Q17" s="93"/>
      <c r="R17" s="93"/>
      <c r="S17" s="93"/>
      <c r="T17" s="93"/>
      <c r="U17" s="93"/>
      <c r="V17" s="93"/>
      <c r="W17" s="93"/>
      <c r="X17" s="93"/>
    </row>
    <row r="18" spans="1:24">
      <c r="A18" s="33" t="s">
        <v>167</v>
      </c>
      <c r="B18" s="63">
        <v>436.41399999999999</v>
      </c>
      <c r="C18" s="333">
        <f>198.0267+42.63+53.32472+42.63+42.63+42.63+42.63</f>
        <v>464.50142</v>
      </c>
      <c r="D18" s="414">
        <f>C18-B18</f>
        <v>28.087420000000009</v>
      </c>
      <c r="E18" s="414"/>
      <c r="F18" s="414">
        <f t="shared" si="1"/>
        <v>106.43595759989368</v>
      </c>
      <c r="G18" s="415"/>
      <c r="H18" s="90"/>
      <c r="I18" s="90"/>
      <c r="J18" s="90"/>
      <c r="K18" s="90"/>
      <c r="L18" s="90"/>
      <c r="M18" s="90"/>
      <c r="N18" s="405"/>
      <c r="O18" s="405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32.25" customHeight="1">
      <c r="A19" s="33" t="s">
        <v>177</v>
      </c>
      <c r="B19" s="333">
        <v>2577.6860000000006</v>
      </c>
      <c r="C19" s="333">
        <f>'1.Фінансовий результат'!D39-C18</f>
        <v>1803.6985799999998</v>
      </c>
      <c r="D19" s="414">
        <f>C19-B19</f>
        <v>-773.98742000000084</v>
      </c>
      <c r="E19" s="414"/>
      <c r="F19" s="414">
        <f t="shared" si="1"/>
        <v>69.973556903362137</v>
      </c>
      <c r="G19" s="415"/>
      <c r="H19" s="90"/>
      <c r="I19" s="90"/>
      <c r="J19" s="90"/>
      <c r="K19" s="90"/>
      <c r="L19" s="90"/>
      <c r="M19" s="90"/>
      <c r="N19" s="405"/>
      <c r="O19" s="405"/>
      <c r="P19" s="93"/>
      <c r="Q19" s="93"/>
      <c r="R19" s="93"/>
      <c r="S19" s="93"/>
      <c r="T19" s="93"/>
      <c r="U19" s="93"/>
      <c r="V19" s="93"/>
      <c r="W19" s="93"/>
      <c r="X19" s="93"/>
    </row>
    <row r="20" spans="1:24">
      <c r="A20" s="33" t="s">
        <v>168</v>
      </c>
      <c r="B20" s="89">
        <f>B17-B18-B19</f>
        <v>8175.3999999999987</v>
      </c>
      <c r="C20" s="89">
        <f>C17-C18-C19</f>
        <v>9433.7999999999993</v>
      </c>
      <c r="D20" s="414">
        <f t="shared" si="0"/>
        <v>1258.4000000000005</v>
      </c>
      <c r="E20" s="414"/>
      <c r="F20" s="414">
        <f t="shared" si="1"/>
        <v>115.39251902047607</v>
      </c>
      <c r="G20" s="415"/>
      <c r="H20" s="90"/>
      <c r="I20" s="90"/>
      <c r="J20" s="90"/>
      <c r="K20" s="90"/>
      <c r="L20" s="90"/>
      <c r="M20" s="90"/>
      <c r="N20" s="405"/>
      <c r="O20" s="405"/>
      <c r="P20" s="93"/>
      <c r="Q20" s="93"/>
      <c r="R20" s="93"/>
      <c r="S20" s="93"/>
      <c r="T20" s="93"/>
      <c r="U20" s="93"/>
      <c r="V20" s="93"/>
      <c r="W20" s="93"/>
      <c r="X20" s="93"/>
    </row>
    <row r="21" spans="1:24" ht="50.25" customHeight="1">
      <c r="A21" s="49" t="s">
        <v>176</v>
      </c>
      <c r="B21" s="197">
        <v>11189.5</v>
      </c>
      <c r="C21" s="197">
        <f>'1.Фінансовий результат'!D107</f>
        <v>11702</v>
      </c>
      <c r="D21" s="414">
        <f t="shared" si="0"/>
        <v>512.5</v>
      </c>
      <c r="E21" s="414"/>
      <c r="F21" s="414">
        <f t="shared" si="1"/>
        <v>104.58018678225123</v>
      </c>
      <c r="G21" s="415"/>
      <c r="H21" s="90"/>
      <c r="I21" s="90"/>
      <c r="J21" s="90"/>
      <c r="K21" s="90"/>
      <c r="L21" s="90"/>
      <c r="M21" s="90"/>
      <c r="N21" s="405"/>
      <c r="O21" s="405"/>
      <c r="P21" s="93"/>
      <c r="Q21" s="93"/>
      <c r="R21" s="93"/>
      <c r="S21" s="93"/>
      <c r="T21" s="93"/>
      <c r="U21" s="93"/>
      <c r="V21" s="93"/>
      <c r="W21" s="93"/>
      <c r="X21" s="93"/>
    </row>
    <row r="22" spans="1:24">
      <c r="A22" s="33" t="s">
        <v>167</v>
      </c>
      <c r="B22" s="63">
        <f>B18</f>
        <v>436.41399999999999</v>
      </c>
      <c r="C22" s="63">
        <f>C18</f>
        <v>464.50142</v>
      </c>
      <c r="D22" s="413">
        <f t="shared" si="0"/>
        <v>28.087420000000009</v>
      </c>
      <c r="E22" s="413"/>
      <c r="F22" s="414">
        <f t="shared" si="1"/>
        <v>106.43595759989368</v>
      </c>
      <c r="G22" s="415"/>
      <c r="H22" s="90"/>
      <c r="I22" s="90"/>
      <c r="J22" s="90"/>
      <c r="K22" s="90"/>
      <c r="L22" s="90"/>
      <c r="M22" s="90"/>
      <c r="N22" s="405"/>
      <c r="O22" s="405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30.75" customHeight="1">
      <c r="A23" s="33" t="s">
        <v>177</v>
      </c>
      <c r="B23" s="63">
        <f>B19</f>
        <v>2577.6860000000006</v>
      </c>
      <c r="C23" s="63">
        <f>C19</f>
        <v>1803.6985799999998</v>
      </c>
      <c r="D23" s="414">
        <f t="shared" si="0"/>
        <v>-773.98742000000084</v>
      </c>
      <c r="E23" s="414"/>
      <c r="F23" s="414">
        <f t="shared" si="1"/>
        <v>69.973556903362137</v>
      </c>
      <c r="G23" s="415"/>
      <c r="H23" s="90"/>
      <c r="I23" s="90"/>
      <c r="J23" s="90"/>
      <c r="K23" s="90"/>
      <c r="L23" s="90"/>
      <c r="M23" s="90"/>
      <c r="N23" s="405"/>
      <c r="O23" s="405"/>
      <c r="P23" s="93"/>
      <c r="Q23" s="93"/>
      <c r="R23" s="93"/>
      <c r="S23" s="93"/>
      <c r="T23" s="93"/>
      <c r="U23" s="93"/>
      <c r="V23" s="93"/>
      <c r="W23" s="93"/>
      <c r="X23" s="93"/>
    </row>
    <row r="24" spans="1:24">
      <c r="A24" s="33" t="s">
        <v>168</v>
      </c>
      <c r="B24" s="63">
        <f>B21-B22-B23</f>
        <v>8175.3999999999987</v>
      </c>
      <c r="C24" s="63">
        <f>C21-C22-C23</f>
        <v>9433.7999999999993</v>
      </c>
      <c r="D24" s="414">
        <f t="shared" si="0"/>
        <v>1258.4000000000005</v>
      </c>
      <c r="E24" s="414"/>
      <c r="F24" s="414">
        <f t="shared" si="1"/>
        <v>115.39251902047607</v>
      </c>
      <c r="G24" s="415"/>
      <c r="H24" s="90"/>
      <c r="I24" s="90"/>
      <c r="J24" s="90"/>
      <c r="K24" s="90"/>
      <c r="L24" s="90"/>
      <c r="M24" s="90"/>
      <c r="N24" s="405"/>
      <c r="O24" s="405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65.25" customHeight="1">
      <c r="A25" s="49" t="s">
        <v>191</v>
      </c>
      <c r="B25" s="197">
        <f>B17/B10/12*1000</f>
        <v>9514.8809523809523</v>
      </c>
      <c r="C25" s="197">
        <f>C17/C10/12*1000</f>
        <v>10053.264604810996</v>
      </c>
      <c r="D25" s="414">
        <f t="shared" si="0"/>
        <v>538.38365243004409</v>
      </c>
      <c r="E25" s="414"/>
      <c r="F25" s="414">
        <f t="shared" si="1"/>
        <v>105.65833303773834</v>
      </c>
      <c r="G25" s="415"/>
      <c r="H25" s="90"/>
      <c r="I25" s="90"/>
      <c r="J25" s="90"/>
      <c r="K25" s="90"/>
      <c r="L25" s="90"/>
      <c r="M25" s="90"/>
      <c r="N25" s="405"/>
      <c r="O25" s="405"/>
      <c r="P25" s="93"/>
      <c r="Q25" s="93"/>
      <c r="R25" s="93"/>
      <c r="S25" s="93"/>
      <c r="T25" s="93"/>
      <c r="U25" s="93"/>
      <c r="V25" s="93"/>
      <c r="W25" s="93"/>
      <c r="X25" s="93"/>
    </row>
    <row r="26" spans="1:24">
      <c r="A26" s="33" t="s">
        <v>167</v>
      </c>
      <c r="B26" s="63">
        <f>B18/12*1000</f>
        <v>36367.833333333328</v>
      </c>
      <c r="C26" s="63">
        <f>C18/12*1000</f>
        <v>38708.451666666668</v>
      </c>
      <c r="D26" s="413">
        <f t="shared" si="0"/>
        <v>2340.6183333333393</v>
      </c>
      <c r="E26" s="413"/>
      <c r="F26" s="414">
        <f t="shared" si="1"/>
        <v>106.4359575998937</v>
      </c>
      <c r="G26" s="415"/>
      <c r="H26" s="90"/>
      <c r="I26" s="90"/>
      <c r="J26" s="90"/>
      <c r="K26" s="90"/>
      <c r="L26" s="90"/>
      <c r="M26" s="90"/>
      <c r="N26" s="405"/>
      <c r="O26" s="405"/>
      <c r="P26" s="93"/>
      <c r="Q26" s="93"/>
      <c r="R26" s="93"/>
      <c r="S26" s="93"/>
      <c r="T26" s="93"/>
      <c r="U26" s="93"/>
      <c r="V26" s="93"/>
      <c r="W26" s="93"/>
      <c r="X26" s="93"/>
    </row>
    <row r="27" spans="1:24" ht="34.5" customHeight="1">
      <c r="A27" s="33" t="s">
        <v>177</v>
      </c>
      <c r="B27" s="333">
        <f>B23/12/SUM(B11:B14)*1000</f>
        <v>14320.47777777778</v>
      </c>
      <c r="C27" s="333">
        <f>C23/12/SUM(C11:C14)*1000</f>
        <v>10736.30107142857</v>
      </c>
      <c r="D27" s="414">
        <f t="shared" si="0"/>
        <v>-3584.1767063492098</v>
      </c>
      <c r="E27" s="414"/>
      <c r="F27" s="414">
        <f t="shared" si="1"/>
        <v>74.971668110745142</v>
      </c>
      <c r="G27" s="415"/>
      <c r="H27" s="90"/>
      <c r="I27" s="90"/>
      <c r="J27" s="90"/>
      <c r="K27" s="90"/>
      <c r="L27" s="90"/>
      <c r="M27" s="90"/>
      <c r="N27" s="405"/>
      <c r="O27" s="405"/>
      <c r="P27" s="93"/>
      <c r="Q27" s="93"/>
      <c r="R27" s="93"/>
      <c r="S27" s="93"/>
      <c r="T27" s="93"/>
      <c r="U27" s="93"/>
      <c r="V27" s="93"/>
      <c r="W27" s="93"/>
      <c r="X27" s="93"/>
    </row>
    <row r="28" spans="1:24">
      <c r="A28" s="33" t="s">
        <v>168</v>
      </c>
      <c r="B28" s="63">
        <f>B24/12/B15*1000</f>
        <v>8208.2329317269068</v>
      </c>
      <c r="C28" s="63">
        <f>C24/12/C15*1000</f>
        <v>9471.6867469879508</v>
      </c>
      <c r="D28" s="414">
        <f>C28-B28</f>
        <v>1263.4538152610439</v>
      </c>
      <c r="E28" s="414"/>
      <c r="F28" s="414">
        <f t="shared" si="1"/>
        <v>115.39251902047607</v>
      </c>
      <c r="G28" s="415"/>
      <c r="H28" s="90"/>
      <c r="I28" s="90"/>
      <c r="J28" s="90"/>
      <c r="K28" s="90"/>
      <c r="L28" s="90"/>
      <c r="M28" s="90"/>
      <c r="N28" s="405"/>
      <c r="O28" s="405"/>
      <c r="P28" s="93"/>
      <c r="Q28" s="93"/>
      <c r="R28" s="93"/>
      <c r="S28" s="93"/>
      <c r="T28" s="93"/>
      <c r="U28" s="93"/>
      <c r="V28" s="93"/>
      <c r="W28" s="93"/>
      <c r="X28" s="93"/>
    </row>
    <row r="29" spans="1:24" ht="50.25" customHeight="1">
      <c r="A29" s="49" t="s">
        <v>192</v>
      </c>
      <c r="B29" s="197">
        <f t="shared" ref="B29:C32" si="2">B25</f>
        <v>9514.8809523809523</v>
      </c>
      <c r="C29" s="197">
        <f t="shared" si="2"/>
        <v>10053.264604810996</v>
      </c>
      <c r="D29" s="414">
        <f t="shared" si="0"/>
        <v>538.38365243004409</v>
      </c>
      <c r="E29" s="414"/>
      <c r="F29" s="414">
        <f t="shared" si="1"/>
        <v>105.65833303773834</v>
      </c>
      <c r="G29" s="415"/>
      <c r="H29" s="90"/>
      <c r="I29" s="90"/>
      <c r="J29" s="90"/>
      <c r="K29" s="90"/>
      <c r="L29" s="90"/>
      <c r="M29" s="90"/>
      <c r="N29" s="405"/>
      <c r="O29" s="405"/>
      <c r="P29" s="93"/>
      <c r="Q29" s="93"/>
      <c r="R29" s="93"/>
      <c r="S29" s="93"/>
      <c r="T29" s="93"/>
      <c r="U29" s="93"/>
      <c r="V29" s="93"/>
      <c r="W29" s="93"/>
      <c r="X29" s="93"/>
    </row>
    <row r="30" spans="1:24">
      <c r="A30" s="33" t="s">
        <v>167</v>
      </c>
      <c r="B30" s="63">
        <f t="shared" si="2"/>
        <v>36367.833333333328</v>
      </c>
      <c r="C30" s="63">
        <f t="shared" si="2"/>
        <v>38708.451666666668</v>
      </c>
      <c r="D30" s="413">
        <f t="shared" si="0"/>
        <v>2340.6183333333393</v>
      </c>
      <c r="E30" s="413"/>
      <c r="F30" s="414">
        <f t="shared" si="1"/>
        <v>106.4359575998937</v>
      </c>
      <c r="G30" s="415"/>
      <c r="H30" s="90"/>
      <c r="I30" s="90"/>
      <c r="J30" s="90"/>
      <c r="K30" s="90"/>
      <c r="L30" s="90"/>
      <c r="M30" s="90"/>
      <c r="N30" s="405"/>
      <c r="O30" s="405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36" customHeight="1">
      <c r="A31" s="33" t="s">
        <v>177</v>
      </c>
      <c r="B31" s="63">
        <f t="shared" si="2"/>
        <v>14320.47777777778</v>
      </c>
      <c r="C31" s="63">
        <f t="shared" si="2"/>
        <v>10736.30107142857</v>
      </c>
      <c r="D31" s="414">
        <f t="shared" si="0"/>
        <v>-3584.1767063492098</v>
      </c>
      <c r="E31" s="414"/>
      <c r="F31" s="414">
        <f t="shared" si="1"/>
        <v>74.971668110745142</v>
      </c>
      <c r="G31" s="415"/>
      <c r="H31" s="90"/>
      <c r="I31" s="90"/>
      <c r="J31" s="90"/>
      <c r="K31" s="90"/>
      <c r="L31" s="90"/>
      <c r="M31" s="90"/>
      <c r="N31" s="405"/>
      <c r="O31" s="405"/>
      <c r="P31" s="93"/>
      <c r="Q31" s="93"/>
      <c r="R31" s="93"/>
      <c r="S31" s="93"/>
      <c r="T31" s="93"/>
      <c r="U31" s="93"/>
      <c r="V31" s="93"/>
      <c r="W31" s="93"/>
      <c r="X31" s="93"/>
    </row>
    <row r="32" spans="1:24">
      <c r="A32" s="33" t="s">
        <v>168</v>
      </c>
      <c r="B32" s="63">
        <f t="shared" si="2"/>
        <v>8208.2329317269068</v>
      </c>
      <c r="C32" s="63">
        <f t="shared" si="2"/>
        <v>9471.6867469879508</v>
      </c>
      <c r="D32" s="414">
        <f>C32-B32</f>
        <v>1263.4538152610439</v>
      </c>
      <c r="E32" s="414"/>
      <c r="F32" s="414">
        <f t="shared" si="1"/>
        <v>115.39251902047607</v>
      </c>
      <c r="G32" s="415"/>
      <c r="H32" s="90"/>
      <c r="I32" s="90"/>
      <c r="J32" s="90"/>
      <c r="K32" s="90"/>
      <c r="L32" s="90"/>
      <c r="M32" s="90"/>
      <c r="N32" s="405"/>
      <c r="O32" s="405"/>
      <c r="P32" s="93"/>
      <c r="Q32" s="93"/>
      <c r="R32" s="93"/>
      <c r="S32" s="93"/>
      <c r="T32" s="93"/>
      <c r="U32" s="93"/>
      <c r="V32" s="93"/>
      <c r="W32" s="93"/>
      <c r="X32" s="93"/>
    </row>
    <row r="33" spans="1:24">
      <c r="A33" s="62"/>
      <c r="B33" s="198"/>
      <c r="C33" s="198"/>
      <c r="D33" s="199"/>
      <c r="E33" s="199"/>
      <c r="F33" s="78"/>
      <c r="G33" s="200"/>
      <c r="H33" s="64"/>
      <c r="I33" s="64"/>
      <c r="J33" s="34"/>
      <c r="K33" s="34"/>
      <c r="L33" s="90"/>
      <c r="M33" s="90"/>
      <c r="N33" s="90"/>
      <c r="O33" s="90"/>
      <c r="P33" s="93"/>
      <c r="Q33" s="93"/>
      <c r="R33" s="93"/>
      <c r="S33" s="93"/>
      <c r="T33" s="93"/>
      <c r="U33" s="93"/>
      <c r="V33" s="93"/>
      <c r="W33" s="93"/>
      <c r="X33" s="93"/>
    </row>
    <row r="34" spans="1:24" ht="31.5" customHeight="1">
      <c r="A34" s="416" t="s">
        <v>379</v>
      </c>
      <c r="B34" s="417"/>
      <c r="C34" s="417"/>
      <c r="D34" s="417"/>
      <c r="E34" s="417"/>
      <c r="F34" s="417"/>
      <c r="G34" s="417"/>
      <c r="H34" s="417"/>
      <c r="I34" s="35"/>
      <c r="J34" s="35"/>
      <c r="K34" s="35"/>
      <c r="L34" s="35"/>
    </row>
    <row r="35" spans="1:24" ht="30">
      <c r="A35" s="418" t="s">
        <v>169</v>
      </c>
      <c r="B35" s="419" t="s">
        <v>380</v>
      </c>
      <c r="C35" s="419"/>
      <c r="D35" s="419" t="s">
        <v>381</v>
      </c>
      <c r="E35" s="419"/>
      <c r="F35" s="419" t="s">
        <v>382</v>
      </c>
      <c r="G35" s="419"/>
      <c r="H35" s="201" t="s">
        <v>383</v>
      </c>
      <c r="I35" s="35"/>
      <c r="J35" s="35"/>
      <c r="K35" s="35"/>
      <c r="L35" s="35"/>
      <c r="M35" s="22"/>
      <c r="N35" s="22"/>
      <c r="O35" s="22"/>
    </row>
    <row r="36" spans="1:24" ht="166.5" customHeight="1">
      <c r="A36" s="418"/>
      <c r="B36" s="201" t="s">
        <v>384</v>
      </c>
      <c r="C36" s="201" t="s">
        <v>193</v>
      </c>
      <c r="D36" s="201" t="s">
        <v>384</v>
      </c>
      <c r="E36" s="201" t="s">
        <v>385</v>
      </c>
      <c r="F36" s="201" t="s">
        <v>384</v>
      </c>
      <c r="G36" s="201" t="s">
        <v>385</v>
      </c>
      <c r="H36" s="201" t="s">
        <v>384</v>
      </c>
      <c r="I36" s="35"/>
      <c r="J36" s="35"/>
      <c r="K36" s="35"/>
      <c r="L36" s="35"/>
      <c r="M36" s="22"/>
      <c r="N36" s="22"/>
      <c r="O36" s="22"/>
    </row>
    <row r="37" spans="1:24">
      <c r="A37" s="89">
        <v>1</v>
      </c>
      <c r="B37" s="89">
        <v>2</v>
      </c>
      <c r="C37" s="89">
        <v>3</v>
      </c>
      <c r="D37" s="89">
        <v>4</v>
      </c>
      <c r="E37" s="89">
        <v>5</v>
      </c>
      <c r="F37" s="89">
        <v>6</v>
      </c>
      <c r="G37" s="48">
        <v>7</v>
      </c>
      <c r="H37" s="48">
        <v>8</v>
      </c>
      <c r="I37" s="35"/>
      <c r="J37" s="35"/>
      <c r="K37" s="35"/>
      <c r="L37" s="35"/>
      <c r="M37" s="11"/>
      <c r="N37" s="11"/>
      <c r="O37" s="11"/>
    </row>
    <row r="38" spans="1:24">
      <c r="A38" s="33" t="s">
        <v>251</v>
      </c>
      <c r="B38" s="44">
        <f>'1.Фінансовий результат'!C13</f>
        <v>21846.399999999998</v>
      </c>
      <c r="C38" s="44"/>
      <c r="D38" s="44">
        <f>'1.Фінансовий результат'!D13</f>
        <v>25679</v>
      </c>
      <c r="E38" s="44"/>
      <c r="F38" s="44">
        <f>D38-B38</f>
        <v>3832.6000000000022</v>
      </c>
      <c r="G38" s="44"/>
      <c r="H38" s="44">
        <f>D38/B38*100</f>
        <v>117.5433938772521</v>
      </c>
      <c r="I38" s="35"/>
      <c r="J38" s="35"/>
      <c r="K38" s="35"/>
      <c r="L38" s="35"/>
      <c r="M38" s="34"/>
      <c r="N38" s="90"/>
      <c r="O38" s="34"/>
    </row>
    <row r="39" spans="1:24">
      <c r="A39" s="33"/>
      <c r="B39" s="44"/>
      <c r="C39" s="44"/>
      <c r="D39" s="32"/>
      <c r="E39" s="32"/>
      <c r="F39" s="32"/>
      <c r="G39" s="32"/>
      <c r="H39" s="32"/>
      <c r="I39" s="35"/>
      <c r="J39" s="35"/>
      <c r="K39" s="35"/>
      <c r="L39" s="35"/>
      <c r="M39" s="34"/>
      <c r="N39" s="34"/>
      <c r="O39" s="34"/>
    </row>
    <row r="40" spans="1:24">
      <c r="A40" s="49" t="s">
        <v>40</v>
      </c>
      <c r="B40" s="50">
        <f>B38</f>
        <v>21846.399999999998</v>
      </c>
      <c r="C40" s="50"/>
      <c r="D40" s="50">
        <f>D38</f>
        <v>25679</v>
      </c>
      <c r="E40" s="50"/>
      <c r="F40" s="50">
        <f>F38</f>
        <v>3832.6000000000022</v>
      </c>
      <c r="G40" s="50"/>
      <c r="H40" s="50">
        <f>H38</f>
        <v>117.5433938772521</v>
      </c>
      <c r="I40" s="35"/>
      <c r="J40" s="35"/>
      <c r="K40" s="35"/>
      <c r="L40" s="35"/>
      <c r="M40" s="35"/>
      <c r="N40" s="35"/>
      <c r="O40" s="35"/>
    </row>
    <row r="41" spans="1:24">
      <c r="A41" s="9"/>
      <c r="B41" s="10"/>
      <c r="C41" s="10"/>
      <c r="D41" s="10"/>
      <c r="E41" s="10"/>
      <c r="F41" s="87"/>
      <c r="G41" s="87"/>
      <c r="H41" s="22"/>
      <c r="I41" s="3"/>
      <c r="J41" s="3"/>
      <c r="K41" s="3"/>
      <c r="L41" s="3"/>
      <c r="M41" s="3"/>
      <c r="N41" s="3"/>
      <c r="O41" s="3"/>
    </row>
    <row r="42" spans="1:24">
      <c r="A42" s="420" t="s">
        <v>386</v>
      </c>
      <c r="B42" s="421"/>
      <c r="C42" s="421"/>
      <c r="D42" s="421"/>
      <c r="E42" s="421"/>
      <c r="F42" s="421"/>
      <c r="G42" s="421"/>
      <c r="H42" s="22"/>
      <c r="I42" s="3"/>
      <c r="J42" s="3"/>
      <c r="K42" s="3"/>
      <c r="L42" s="3"/>
      <c r="M42" s="3"/>
      <c r="N42" s="3"/>
      <c r="O42" s="3"/>
    </row>
    <row r="43" spans="1:24" ht="88.5" customHeight="1">
      <c r="A43" s="89" t="s">
        <v>93</v>
      </c>
      <c r="B43" s="196" t="s">
        <v>54</v>
      </c>
      <c r="C43" s="196" t="s">
        <v>209</v>
      </c>
      <c r="D43" s="196" t="s">
        <v>51</v>
      </c>
      <c r="E43" s="196" t="s">
        <v>194</v>
      </c>
      <c r="F43" s="196" t="s">
        <v>63</v>
      </c>
      <c r="G43" s="196" t="s">
        <v>19</v>
      </c>
      <c r="H43" s="22"/>
      <c r="I43" s="22"/>
      <c r="J43" s="22"/>
      <c r="K43" s="22"/>
      <c r="L43" s="22"/>
      <c r="M43" s="22"/>
      <c r="N43" s="22"/>
      <c r="O43" s="22"/>
    </row>
    <row r="44" spans="1:24">
      <c r="A44" s="48">
        <v>1</v>
      </c>
      <c r="B44" s="48">
        <v>2</v>
      </c>
      <c r="C44" s="48">
        <v>3</v>
      </c>
      <c r="D44" s="48">
        <v>4</v>
      </c>
      <c r="E44" s="48">
        <v>5</v>
      </c>
      <c r="F44" s="202">
        <v>6</v>
      </c>
      <c r="G44" s="48">
        <v>7</v>
      </c>
      <c r="H44" s="22"/>
      <c r="I44" s="22"/>
      <c r="J44" s="22"/>
      <c r="K44" s="22"/>
      <c r="L44" s="22"/>
      <c r="M44" s="11"/>
      <c r="N44" s="11"/>
      <c r="O44" s="11"/>
    </row>
    <row r="45" spans="1:24" ht="7.5" customHeight="1">
      <c r="A45" s="33"/>
      <c r="B45" s="32"/>
      <c r="C45" s="32"/>
      <c r="D45" s="32"/>
      <c r="E45" s="32"/>
      <c r="F45" s="44"/>
      <c r="G45" s="89"/>
      <c r="H45" s="22"/>
      <c r="I45" s="22"/>
      <c r="J45" s="22"/>
      <c r="K45" s="22"/>
      <c r="L45" s="22"/>
      <c r="M45" s="34"/>
      <c r="N45" s="34"/>
      <c r="O45" s="34"/>
    </row>
    <row r="46" spans="1:24">
      <c r="A46" s="33" t="s">
        <v>40</v>
      </c>
      <c r="B46" s="89" t="s">
        <v>20</v>
      </c>
      <c r="C46" s="89"/>
      <c r="D46" s="89" t="s">
        <v>20</v>
      </c>
      <c r="E46" s="89" t="s">
        <v>20</v>
      </c>
      <c r="F46" s="89"/>
      <c r="G46" s="89" t="s">
        <v>20</v>
      </c>
      <c r="H46" s="22"/>
      <c r="I46" s="22"/>
      <c r="J46" s="22"/>
      <c r="K46" s="22"/>
      <c r="L46" s="22"/>
      <c r="M46" s="34"/>
      <c r="N46" s="34"/>
      <c r="O46" s="34"/>
    </row>
    <row r="47" spans="1:24">
      <c r="A47" s="244"/>
      <c r="B47" s="244"/>
      <c r="C47" s="244"/>
      <c r="D47" s="244"/>
      <c r="E47" s="244"/>
      <c r="F47" s="244"/>
      <c r="G47" s="244"/>
      <c r="H47" s="22"/>
      <c r="I47" s="22"/>
      <c r="J47" s="22"/>
      <c r="K47" s="22"/>
      <c r="L47" s="22"/>
      <c r="M47" s="93"/>
      <c r="N47" s="93"/>
      <c r="O47" s="93"/>
    </row>
    <row r="48" spans="1:24">
      <c r="A48" s="422" t="s">
        <v>207</v>
      </c>
      <c r="B48" s="423"/>
      <c r="C48" s="423"/>
      <c r="D48" s="423"/>
      <c r="E48" s="423"/>
      <c r="F48" s="423"/>
      <c r="G48" s="423"/>
      <c r="H48" s="22"/>
      <c r="I48" s="22"/>
      <c r="J48" s="22"/>
      <c r="K48" s="22"/>
      <c r="L48" s="22"/>
      <c r="M48" s="3"/>
      <c r="N48" s="3"/>
      <c r="O48" s="3"/>
    </row>
    <row r="49" spans="1:24">
      <c r="A49" s="409" t="s">
        <v>50</v>
      </c>
      <c r="B49" s="401" t="s">
        <v>387</v>
      </c>
      <c r="C49" s="401" t="s">
        <v>388</v>
      </c>
      <c r="D49" s="401"/>
      <c r="E49" s="424" t="s">
        <v>389</v>
      </c>
      <c r="F49" s="424"/>
      <c r="G49" s="401" t="s">
        <v>390</v>
      </c>
      <c r="H49" s="22"/>
      <c r="I49" s="22"/>
      <c r="J49" s="22"/>
      <c r="K49" s="22"/>
      <c r="L49" s="22"/>
      <c r="M49" s="22"/>
      <c r="N49" s="22"/>
      <c r="O49" s="22"/>
    </row>
    <row r="50" spans="1:24" ht="60.75" customHeight="1">
      <c r="A50" s="410"/>
      <c r="B50" s="407"/>
      <c r="C50" s="196" t="s">
        <v>391</v>
      </c>
      <c r="D50" s="203" t="s">
        <v>308</v>
      </c>
      <c r="E50" s="204" t="s">
        <v>391</v>
      </c>
      <c r="F50" s="203" t="s">
        <v>308</v>
      </c>
      <c r="G50" s="425"/>
      <c r="H50" s="22"/>
      <c r="I50" s="22"/>
      <c r="J50" s="22"/>
      <c r="K50" s="22"/>
      <c r="L50" s="22"/>
      <c r="M50" s="22"/>
      <c r="N50" s="22"/>
      <c r="O50" s="22"/>
    </row>
    <row r="51" spans="1:24" ht="12.75" customHeight="1">
      <c r="A51" s="89">
        <v>1</v>
      </c>
      <c r="B51" s="89">
        <v>2</v>
      </c>
      <c r="C51" s="89">
        <v>3</v>
      </c>
      <c r="D51" s="48">
        <v>4</v>
      </c>
      <c r="E51" s="205">
        <v>5</v>
      </c>
      <c r="F51" s="48">
        <v>6</v>
      </c>
      <c r="G51" s="48">
        <v>7</v>
      </c>
      <c r="H51" s="11"/>
      <c r="I51" s="11"/>
      <c r="J51" s="11"/>
      <c r="K51" s="11"/>
      <c r="L51" s="11"/>
      <c r="M51" s="11"/>
      <c r="N51" s="11"/>
      <c r="O51" s="11"/>
    </row>
    <row r="52" spans="1:24" ht="34.5" customHeight="1">
      <c r="A52" s="33" t="s">
        <v>195</v>
      </c>
      <c r="B52" s="33"/>
      <c r="C52" s="33"/>
      <c r="D52" s="202"/>
      <c r="E52" s="206"/>
      <c r="F52" s="202"/>
      <c r="G52" s="202"/>
      <c r="H52" s="34"/>
      <c r="I52" s="34"/>
      <c r="J52" s="34"/>
      <c r="K52" s="34"/>
      <c r="L52" s="34"/>
      <c r="M52" s="34"/>
      <c r="N52" s="34"/>
      <c r="O52" s="34"/>
    </row>
    <row r="53" spans="1:24">
      <c r="A53" s="33" t="s">
        <v>75</v>
      </c>
      <c r="B53" s="33"/>
      <c r="C53" s="33"/>
      <c r="D53" s="202"/>
      <c r="E53" s="206"/>
      <c r="F53" s="202"/>
      <c r="G53" s="202"/>
      <c r="H53" s="34"/>
      <c r="I53" s="34"/>
      <c r="J53" s="34"/>
      <c r="K53" s="34"/>
      <c r="L53" s="34"/>
      <c r="M53" s="34"/>
      <c r="N53" s="34"/>
      <c r="O53" s="34"/>
    </row>
    <row r="54" spans="1:24" ht="7.5" customHeight="1">
      <c r="A54" s="33"/>
      <c r="B54" s="33"/>
      <c r="C54" s="33"/>
      <c r="D54" s="202"/>
      <c r="E54" s="206"/>
      <c r="F54" s="202"/>
      <c r="G54" s="202"/>
      <c r="H54" s="34"/>
      <c r="I54" s="34"/>
      <c r="J54" s="34"/>
      <c r="K54" s="34"/>
      <c r="L54" s="34"/>
      <c r="M54" s="34"/>
      <c r="N54" s="34"/>
      <c r="O54" s="34"/>
    </row>
    <row r="55" spans="1:24" ht="30.75" customHeight="1">
      <c r="A55" s="33" t="s">
        <v>196</v>
      </c>
      <c r="B55" s="33"/>
      <c r="C55" s="33"/>
      <c r="D55" s="202"/>
      <c r="E55" s="206"/>
      <c r="F55" s="202"/>
      <c r="G55" s="202"/>
      <c r="H55" s="34"/>
      <c r="I55" s="34"/>
      <c r="J55" s="34"/>
      <c r="K55" s="34"/>
      <c r="L55" s="34"/>
      <c r="M55" s="34"/>
      <c r="N55" s="34"/>
      <c r="O55" s="34"/>
    </row>
    <row r="56" spans="1:24" ht="8.25" customHeight="1">
      <c r="A56" s="33"/>
      <c r="B56" s="33"/>
      <c r="C56" s="33"/>
      <c r="D56" s="202"/>
      <c r="E56" s="206"/>
      <c r="F56" s="202"/>
      <c r="G56" s="202"/>
      <c r="H56" s="34"/>
      <c r="I56" s="34"/>
      <c r="J56" s="34"/>
      <c r="K56" s="34"/>
      <c r="L56" s="34"/>
      <c r="M56" s="34"/>
      <c r="N56" s="34"/>
      <c r="O56" s="34"/>
    </row>
    <row r="57" spans="1:24">
      <c r="A57" s="33" t="s">
        <v>392</v>
      </c>
      <c r="B57" s="33"/>
      <c r="C57" s="33"/>
      <c r="D57" s="202"/>
      <c r="E57" s="206"/>
      <c r="F57" s="202"/>
      <c r="G57" s="202"/>
      <c r="H57" s="34"/>
      <c r="I57" s="34"/>
      <c r="J57" s="34"/>
      <c r="K57" s="34"/>
      <c r="L57" s="34"/>
      <c r="M57" s="34"/>
      <c r="N57" s="34"/>
      <c r="O57" s="34"/>
    </row>
    <row r="58" spans="1:24">
      <c r="A58" s="430" t="s">
        <v>393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>
      <c r="A59" s="432" t="s">
        <v>35</v>
      </c>
      <c r="B59" s="400" t="s">
        <v>135</v>
      </c>
      <c r="C59" s="401" t="s">
        <v>136</v>
      </c>
      <c r="D59" s="401" t="s">
        <v>200</v>
      </c>
      <c r="E59" s="433" t="s">
        <v>137</v>
      </c>
      <c r="F59" s="434"/>
      <c r="G59" s="437" t="s">
        <v>210</v>
      </c>
      <c r="H59" s="438"/>
      <c r="I59" s="438"/>
      <c r="J59" s="438"/>
      <c r="K59" s="438"/>
      <c r="L59" s="439"/>
      <c r="M59" s="22"/>
      <c r="N59" s="22"/>
      <c r="O59" s="22"/>
      <c r="P59" s="22"/>
      <c r="Q59" s="11"/>
      <c r="R59" s="11"/>
      <c r="S59" s="11"/>
      <c r="T59" s="11"/>
      <c r="U59" s="11"/>
      <c r="V59" s="11"/>
      <c r="W59" s="11"/>
      <c r="X59" s="11"/>
    </row>
    <row r="60" spans="1:24" ht="68.25" customHeight="1">
      <c r="A60" s="432"/>
      <c r="B60" s="400"/>
      <c r="C60" s="407"/>
      <c r="D60" s="407"/>
      <c r="E60" s="435"/>
      <c r="F60" s="436"/>
      <c r="G60" s="424" t="s">
        <v>138</v>
      </c>
      <c r="H60" s="424"/>
      <c r="I60" s="207" t="s">
        <v>394</v>
      </c>
      <c r="J60" s="196" t="s">
        <v>395</v>
      </c>
      <c r="K60" s="196" t="s">
        <v>139</v>
      </c>
      <c r="L60" s="196" t="s">
        <v>140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5.75">
      <c r="A61" s="88">
        <v>1</v>
      </c>
      <c r="B61" s="88">
        <v>2</v>
      </c>
      <c r="C61" s="89">
        <v>3</v>
      </c>
      <c r="D61" s="89">
        <v>4</v>
      </c>
      <c r="E61" s="426">
        <v>5</v>
      </c>
      <c r="F61" s="427"/>
      <c r="G61" s="409">
        <v>6</v>
      </c>
      <c r="H61" s="409"/>
      <c r="I61" s="89">
        <v>7</v>
      </c>
      <c r="J61" s="89">
        <v>8</v>
      </c>
      <c r="K61" s="89">
        <v>9</v>
      </c>
      <c r="L61" s="89">
        <v>10</v>
      </c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75"/>
      <c r="X61" s="75"/>
    </row>
    <row r="62" spans="1:24" ht="37.5" customHeight="1">
      <c r="A62" s="208" t="s">
        <v>451</v>
      </c>
      <c r="B62" s="209" t="s">
        <v>396</v>
      </c>
      <c r="C62" s="137" t="s">
        <v>273</v>
      </c>
      <c r="D62" s="89" t="s">
        <v>252</v>
      </c>
      <c r="E62" s="428">
        <f>G62+I62+J62</f>
        <v>228.34524379999999</v>
      </c>
      <c r="F62" s="429"/>
      <c r="G62" s="496">
        <v>203</v>
      </c>
      <c r="H62" s="496"/>
      <c r="I62" s="497">
        <v>20.774789999999999</v>
      </c>
      <c r="J62" s="348">
        <v>4.5704538000000001</v>
      </c>
      <c r="K62" s="45" t="e">
        <f>#REF!/4*3</f>
        <v>#REF!</v>
      </c>
      <c r="L62" s="45" t="e">
        <f>#REF!/4*3</f>
        <v>#REF!</v>
      </c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</row>
    <row r="63" spans="1:24" ht="47.25" customHeight="1">
      <c r="A63" s="208" t="s">
        <v>441</v>
      </c>
      <c r="B63" s="209" t="s">
        <v>396</v>
      </c>
      <c r="C63" s="137" t="s">
        <v>273</v>
      </c>
      <c r="D63" s="89" t="s">
        <v>252</v>
      </c>
      <c r="E63" s="428">
        <f>SUM(G63:L63)</f>
        <v>162.6</v>
      </c>
      <c r="F63" s="429"/>
      <c r="G63" s="500">
        <v>140</v>
      </c>
      <c r="H63" s="501"/>
      <c r="I63" s="498">
        <v>18.5</v>
      </c>
      <c r="J63" s="499">
        <v>4.0999999999999996</v>
      </c>
      <c r="K63" s="351">
        <v>0</v>
      </c>
      <c r="L63" s="351">
        <v>0</v>
      </c>
      <c r="M63" s="199"/>
      <c r="N63" s="199"/>
      <c r="O63" s="199"/>
      <c r="Q63" s="199"/>
      <c r="R63" s="199"/>
      <c r="S63" s="199"/>
      <c r="T63" s="199"/>
      <c r="U63" s="199"/>
      <c r="V63" s="199"/>
      <c r="W63" s="199"/>
      <c r="X63" s="199"/>
    </row>
    <row r="64" spans="1:24">
      <c r="A64" s="430" t="s">
        <v>397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1:24">
      <c r="A65" s="432" t="s">
        <v>35</v>
      </c>
      <c r="B65" s="432" t="s">
        <v>141</v>
      </c>
      <c r="C65" s="409" t="s">
        <v>135</v>
      </c>
      <c r="D65" s="409" t="s">
        <v>200</v>
      </c>
      <c r="E65" s="409" t="s">
        <v>142</v>
      </c>
      <c r="F65" s="409" t="s">
        <v>143</v>
      </c>
      <c r="G65" s="409"/>
      <c r="H65" s="409"/>
      <c r="I65" s="409"/>
      <c r="J65" s="409"/>
      <c r="K65" s="409"/>
      <c r="L65" s="409"/>
      <c r="M65" s="22"/>
      <c r="N65" s="22"/>
      <c r="O65" s="22"/>
      <c r="P65" s="22"/>
      <c r="Q65" s="22"/>
      <c r="R65" s="22"/>
      <c r="S65" s="22"/>
      <c r="T65" s="22"/>
      <c r="U65" s="22"/>
      <c r="V65" s="11"/>
      <c r="W65" s="11"/>
      <c r="X65" s="11"/>
    </row>
    <row r="66" spans="1:24">
      <c r="A66" s="432"/>
      <c r="B66" s="432"/>
      <c r="C66" s="410"/>
      <c r="D66" s="410"/>
      <c r="E66" s="410"/>
      <c r="F66" s="409" t="s">
        <v>144</v>
      </c>
      <c r="G66" s="446" t="s">
        <v>391</v>
      </c>
      <c r="H66" s="447"/>
      <c r="I66" s="448"/>
      <c r="J66" s="409" t="s">
        <v>308</v>
      </c>
      <c r="K66" s="409" t="s">
        <v>309</v>
      </c>
      <c r="L66" s="409" t="s">
        <v>311</v>
      </c>
      <c r="M66" s="22"/>
      <c r="N66" s="22"/>
      <c r="O66" s="22"/>
      <c r="P66" s="22"/>
      <c r="Q66" s="22"/>
      <c r="R66" s="22"/>
      <c r="S66" s="22"/>
      <c r="T66" s="22"/>
      <c r="U66" s="22"/>
      <c r="V66" s="11"/>
      <c r="W66" s="11"/>
      <c r="X66" s="11"/>
    </row>
    <row r="67" spans="1:24">
      <c r="A67" s="432"/>
      <c r="B67" s="432"/>
      <c r="C67" s="410"/>
      <c r="D67" s="410"/>
      <c r="E67" s="410"/>
      <c r="F67" s="410"/>
      <c r="G67" s="449"/>
      <c r="H67" s="450"/>
      <c r="I67" s="451"/>
      <c r="J67" s="410"/>
      <c r="K67" s="410"/>
      <c r="L67" s="410"/>
      <c r="M67" s="22"/>
      <c r="N67" s="22"/>
      <c r="O67" s="22"/>
      <c r="P67" s="22"/>
      <c r="Q67" s="22"/>
      <c r="R67" s="22"/>
      <c r="S67" s="22"/>
      <c r="T67" s="22"/>
      <c r="U67" s="22"/>
      <c r="V67" s="11"/>
      <c r="W67" s="11"/>
      <c r="X67" s="11"/>
    </row>
    <row r="68" spans="1:24" ht="15.75">
      <c r="A68" s="88">
        <v>1</v>
      </c>
      <c r="B68" s="88">
        <v>2</v>
      </c>
      <c r="C68" s="89">
        <v>3</v>
      </c>
      <c r="D68" s="89">
        <v>4</v>
      </c>
      <c r="E68" s="89">
        <v>5</v>
      </c>
      <c r="F68" s="89">
        <v>6</v>
      </c>
      <c r="G68" s="426">
        <v>7</v>
      </c>
      <c r="H68" s="440"/>
      <c r="I68" s="427"/>
      <c r="J68" s="89">
        <v>8</v>
      </c>
      <c r="K68" s="89">
        <v>9</v>
      </c>
      <c r="L68" s="89">
        <v>10</v>
      </c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75"/>
    </row>
    <row r="69" spans="1:24" ht="15.75">
      <c r="A69" s="210"/>
      <c r="B69" s="208"/>
      <c r="C69" s="33"/>
      <c r="D69" s="33"/>
      <c r="E69" s="33"/>
      <c r="F69" s="211"/>
      <c r="G69" s="441"/>
      <c r="H69" s="442"/>
      <c r="I69" s="443"/>
      <c r="J69" s="211"/>
      <c r="K69" s="211"/>
      <c r="L69" s="211"/>
      <c r="M69" s="37"/>
      <c r="N69" s="37"/>
      <c r="O69" s="37"/>
      <c r="P69" s="37"/>
      <c r="Q69" s="212"/>
      <c r="R69" s="212"/>
      <c r="S69" s="212"/>
      <c r="T69" s="212"/>
      <c r="U69" s="212"/>
      <c r="V69" s="199"/>
      <c r="W69" s="199"/>
      <c r="X69" s="199"/>
    </row>
    <row r="70" spans="1:24" ht="15.75">
      <c r="A70" s="210"/>
      <c r="B70" s="208"/>
      <c r="C70" s="33"/>
      <c r="D70" s="33"/>
      <c r="E70" s="33"/>
      <c r="F70" s="211"/>
      <c r="G70" s="444"/>
      <c r="H70" s="444"/>
      <c r="I70" s="444"/>
      <c r="J70" s="211"/>
      <c r="K70" s="211"/>
      <c r="L70" s="211"/>
      <c r="M70" s="37"/>
      <c r="N70" s="37"/>
      <c r="O70" s="37"/>
      <c r="P70" s="37"/>
      <c r="Q70" s="212"/>
      <c r="R70" s="212"/>
      <c r="S70" s="212"/>
      <c r="T70" s="212"/>
      <c r="U70" s="212"/>
      <c r="V70" s="199"/>
      <c r="W70" s="199"/>
      <c r="X70" s="199"/>
    </row>
    <row r="71" spans="1:24" ht="15.75">
      <c r="A71" s="445" t="s">
        <v>208</v>
      </c>
      <c r="B71" s="445"/>
      <c r="C71" s="445"/>
      <c r="D71" s="445"/>
      <c r="E71" s="445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</row>
    <row r="72" spans="1:24" ht="18.75" customHeight="1">
      <c r="A72" s="409" t="s">
        <v>35</v>
      </c>
      <c r="B72" s="409" t="s">
        <v>160</v>
      </c>
      <c r="C72" s="409"/>
      <c r="D72" s="409"/>
      <c r="E72" s="479" t="s">
        <v>39</v>
      </c>
      <c r="F72" s="480"/>
      <c r="G72" s="480"/>
      <c r="H72" s="481"/>
      <c r="I72" s="479" t="s">
        <v>64</v>
      </c>
      <c r="J72" s="480"/>
      <c r="K72" s="480"/>
      <c r="L72" s="481"/>
      <c r="M72" s="452" t="s">
        <v>178</v>
      </c>
      <c r="N72" s="452"/>
      <c r="O72" s="452"/>
      <c r="P72" s="452"/>
      <c r="Q72" s="452" t="s">
        <v>94</v>
      </c>
      <c r="R72" s="452"/>
      <c r="S72" s="452"/>
      <c r="T72" s="452"/>
      <c r="U72" s="452" t="s">
        <v>40</v>
      </c>
      <c r="V72" s="452"/>
      <c r="W72" s="452"/>
      <c r="X72" s="452"/>
    </row>
    <row r="73" spans="1:24" ht="47.25">
      <c r="A73" s="456"/>
      <c r="B73" s="409"/>
      <c r="C73" s="409"/>
      <c r="D73" s="409"/>
      <c r="E73" s="225" t="s">
        <v>391</v>
      </c>
      <c r="F73" s="196" t="s">
        <v>306</v>
      </c>
      <c r="G73" s="196" t="s">
        <v>398</v>
      </c>
      <c r="H73" s="196" t="s">
        <v>311</v>
      </c>
      <c r="I73" s="322" t="s">
        <v>391</v>
      </c>
      <c r="J73" s="321" t="s">
        <v>308</v>
      </c>
      <c r="K73" s="196" t="s">
        <v>398</v>
      </c>
      <c r="L73" s="196" t="s">
        <v>311</v>
      </c>
      <c r="M73" s="196" t="s">
        <v>391</v>
      </c>
      <c r="N73" s="207" t="s">
        <v>308</v>
      </c>
      <c r="O73" s="196" t="s">
        <v>398</v>
      </c>
      <c r="P73" s="196" t="s">
        <v>311</v>
      </c>
      <c r="Q73" s="196" t="s">
        <v>391</v>
      </c>
      <c r="R73" s="207" t="s">
        <v>308</v>
      </c>
      <c r="S73" s="196" t="s">
        <v>398</v>
      </c>
      <c r="T73" s="196" t="s">
        <v>311</v>
      </c>
      <c r="U73" s="196" t="s">
        <v>391</v>
      </c>
      <c r="V73" s="207" t="s">
        <v>308</v>
      </c>
      <c r="W73" s="196" t="s">
        <v>398</v>
      </c>
      <c r="X73" s="196" t="s">
        <v>311</v>
      </c>
    </row>
    <row r="74" spans="1:24" ht="18.75" customHeight="1">
      <c r="A74" s="89">
        <v>1</v>
      </c>
      <c r="B74" s="409">
        <v>2</v>
      </c>
      <c r="C74" s="409"/>
      <c r="D74" s="409"/>
      <c r="E74" s="51">
        <v>3</v>
      </c>
      <c r="F74" s="350">
        <v>4</v>
      </c>
      <c r="G74" s="350">
        <v>5</v>
      </c>
      <c r="H74" s="350">
        <v>6</v>
      </c>
      <c r="I74" s="346">
        <v>7</v>
      </c>
      <c r="J74" s="350">
        <v>8</v>
      </c>
      <c r="K74" s="350">
        <v>9</v>
      </c>
      <c r="L74" s="350">
        <v>10</v>
      </c>
      <c r="M74" s="347">
        <v>11</v>
      </c>
      <c r="N74" s="347">
        <v>12</v>
      </c>
      <c r="O74" s="347">
        <v>13</v>
      </c>
      <c r="P74" s="347">
        <v>14</v>
      </c>
      <c r="Q74" s="347">
        <v>15</v>
      </c>
      <c r="R74" s="347">
        <v>16</v>
      </c>
      <c r="S74" s="347">
        <v>17</v>
      </c>
      <c r="T74" s="89">
        <v>18</v>
      </c>
      <c r="U74" s="89">
        <v>19</v>
      </c>
      <c r="V74" s="48">
        <v>20</v>
      </c>
      <c r="W74" s="48">
        <v>21</v>
      </c>
      <c r="X74" s="48">
        <v>22</v>
      </c>
    </row>
    <row r="75" spans="1:24" ht="37.5" customHeight="1">
      <c r="A75" s="126" t="s">
        <v>399</v>
      </c>
      <c r="B75" s="463" t="s">
        <v>335</v>
      </c>
      <c r="C75" s="463"/>
      <c r="D75" s="463"/>
      <c r="E75" s="226">
        <f>E76+E77+E78+E79</f>
        <v>0</v>
      </c>
      <c r="F75" s="226">
        <f>F76+F77+F78+F79</f>
        <v>0</v>
      </c>
      <c r="G75" s="214">
        <f>F75-E75</f>
        <v>0</v>
      </c>
      <c r="H75" s="259" t="e">
        <f>E75/D75*100</f>
        <v>#DIV/0!</v>
      </c>
      <c r="I75" s="226">
        <f>I76+I77+I78+I79</f>
        <v>5486</v>
      </c>
      <c r="J75" s="226">
        <f>J76+J77+J78+J79</f>
        <v>3733</v>
      </c>
      <c r="K75" s="214">
        <f>J75-I75</f>
        <v>-1753</v>
      </c>
      <c r="L75" s="226">
        <f>J75/I75*100</f>
        <v>68.045935107546484</v>
      </c>
      <c r="M75" s="324" t="e">
        <f>M76+M77+M78+M79</f>
        <v>#REF!</v>
      </c>
      <c r="N75" s="324">
        <f>N76+N77+N78+N79</f>
        <v>0</v>
      </c>
      <c r="O75" s="325" t="e">
        <f>N75-M75</f>
        <v>#REF!</v>
      </c>
      <c r="P75" s="259" t="e">
        <f>M75/L75*100</f>
        <v>#REF!</v>
      </c>
      <c r="Q75" s="324" t="e">
        <f>Q76+Q77</f>
        <v>#REF!</v>
      </c>
      <c r="R75" s="324">
        <f>R76+R77</f>
        <v>0</v>
      </c>
      <c r="S75" s="325" t="e">
        <f>R75-Q75</f>
        <v>#REF!</v>
      </c>
      <c r="T75" s="259" t="e">
        <f>Q75/P75*100</f>
        <v>#REF!</v>
      </c>
      <c r="U75" s="226" t="e">
        <f>U76+U77+U78+U79</f>
        <v>#REF!</v>
      </c>
      <c r="V75" s="226">
        <f>V76+V77+V78+V79</f>
        <v>3733</v>
      </c>
      <c r="W75" s="214" t="e">
        <f>V75-U75</f>
        <v>#REF!</v>
      </c>
      <c r="X75" s="226" t="e">
        <f>V75/U75*100</f>
        <v>#REF!</v>
      </c>
    </row>
    <row r="76" spans="1:24" ht="66.75" customHeight="1">
      <c r="A76" s="216" t="s">
        <v>406</v>
      </c>
      <c r="B76" s="464" t="str">
        <f>'4.Кап. інвестиції'!A10</f>
        <v xml:space="preserve">Придбання 20 контейнерів для збирання твердих побутових відходів 1,1м3 на кладовище міста </v>
      </c>
      <c r="C76" s="465"/>
      <c r="D76" s="466"/>
      <c r="E76" s="215"/>
      <c r="F76" s="216"/>
      <c r="G76" s="216"/>
      <c r="H76" s="123"/>
      <c r="I76" s="261">
        <f>'4.Кап. інвестиції'!C10</f>
        <v>205.5</v>
      </c>
      <c r="J76" s="261">
        <f>'4.Кап. інвестиції'!D10</f>
        <v>0</v>
      </c>
      <c r="K76" s="217">
        <f>J76-I76</f>
        <v>-205.5</v>
      </c>
      <c r="L76" s="262">
        <f t="shared" ref="L76:L78" si="3">J76/I76*100</f>
        <v>0</v>
      </c>
      <c r="M76" s="240" t="e">
        <f>#REF!</f>
        <v>#REF!</v>
      </c>
      <c r="N76" s="240">
        <v>0</v>
      </c>
      <c r="O76" s="325" t="e">
        <f t="shared" ref="O76:O77" si="4">N76-M76</f>
        <v>#REF!</v>
      </c>
      <c r="P76" s="259" t="e">
        <f t="shared" ref="P76:P77" si="5">M76/L76*100</f>
        <v>#REF!</v>
      </c>
      <c r="Q76" s="240" t="e">
        <f>#REF!</f>
        <v>#REF!</v>
      </c>
      <c r="R76" s="240"/>
      <c r="S76" s="325" t="e">
        <f t="shared" ref="S76:S77" si="6">R76-Q76</f>
        <v>#REF!</v>
      </c>
      <c r="T76" s="259" t="e">
        <f t="shared" ref="T76:T77" si="7">Q76/P76*100</f>
        <v>#REF!</v>
      </c>
      <c r="U76" s="123" t="e">
        <f>E76+I76+M76+Q76</f>
        <v>#REF!</v>
      </c>
      <c r="V76" s="123">
        <f>F76+J76+N76+R76</f>
        <v>0</v>
      </c>
      <c r="W76" s="217" t="e">
        <f t="shared" ref="W76:W83" si="8">V76-U76</f>
        <v>#REF!</v>
      </c>
      <c r="X76" s="262" t="e">
        <f t="shared" ref="X76:X78" si="9">V76/U76*100</f>
        <v>#REF!</v>
      </c>
    </row>
    <row r="77" spans="1:24" ht="33.75" customHeight="1">
      <c r="A77" s="216" t="s">
        <v>407</v>
      </c>
      <c r="B77" s="464" t="str">
        <f>'4.Кап. інвестиції'!A11</f>
        <v>Екскаватор - навантажувач "Катерпіллар"</v>
      </c>
      <c r="C77" s="465"/>
      <c r="D77" s="466"/>
      <c r="E77" s="215"/>
      <c r="F77" s="216"/>
      <c r="G77" s="216"/>
      <c r="H77" s="123"/>
      <c r="I77" s="261">
        <f>'4.Кап. інвестиції'!C11</f>
        <v>1890</v>
      </c>
      <c r="J77" s="261">
        <f>'4.Кап. інвестиції'!D11</f>
        <v>2335</v>
      </c>
      <c r="K77" s="214">
        <v>0</v>
      </c>
      <c r="L77" s="262">
        <f t="shared" si="3"/>
        <v>123.54497354497353</v>
      </c>
      <c r="M77" s="240" t="e">
        <f>#REF!</f>
        <v>#REF!</v>
      </c>
      <c r="N77" s="260">
        <v>0</v>
      </c>
      <c r="O77" s="325" t="e">
        <f t="shared" si="4"/>
        <v>#REF!</v>
      </c>
      <c r="P77" s="259" t="e">
        <f t="shared" si="5"/>
        <v>#REF!</v>
      </c>
      <c r="Q77" s="240" t="e">
        <f>#REF!</f>
        <v>#REF!</v>
      </c>
      <c r="R77" s="240"/>
      <c r="S77" s="325" t="e">
        <f t="shared" si="6"/>
        <v>#REF!</v>
      </c>
      <c r="T77" s="259" t="e">
        <f t="shared" si="7"/>
        <v>#REF!</v>
      </c>
      <c r="U77" s="123" t="e">
        <f>E77+I77+M77+Q77</f>
        <v>#REF!</v>
      </c>
      <c r="V77" s="123">
        <f>F77+J77+N77+R77</f>
        <v>2335</v>
      </c>
      <c r="W77" s="217" t="e">
        <f t="shared" si="8"/>
        <v>#REF!</v>
      </c>
      <c r="X77" s="262" t="e">
        <f t="shared" si="9"/>
        <v>#REF!</v>
      </c>
    </row>
    <row r="78" spans="1:24" ht="53.25" customHeight="1">
      <c r="A78" s="216" t="s">
        <v>408</v>
      </c>
      <c r="B78" s="460" t="str">
        <f>'4.Кап. інвестиції'!A12</f>
        <v>Мікроавтобус для транспортування до моргу померлих на судмедекспертизу</v>
      </c>
      <c r="C78" s="461"/>
      <c r="D78" s="462"/>
      <c r="E78" s="215"/>
      <c r="F78" s="216"/>
      <c r="G78" s="216"/>
      <c r="H78" s="123"/>
      <c r="I78" s="261">
        <f>'4.Кап. інвестиції'!C12</f>
        <v>890.5</v>
      </c>
      <c r="J78" s="261">
        <f>'4.Кап. інвестиції'!D12</f>
        <v>1398</v>
      </c>
      <c r="K78" s="214">
        <v>0</v>
      </c>
      <c r="L78" s="262">
        <f t="shared" si="3"/>
        <v>156.99045480067377</v>
      </c>
      <c r="M78" s="260"/>
      <c r="N78" s="260"/>
      <c r="O78" s="260"/>
      <c r="P78" s="260"/>
      <c r="Q78" s="240"/>
      <c r="R78" s="240"/>
      <c r="S78" s="240"/>
      <c r="T78" s="240"/>
      <c r="U78" s="123">
        <f t="shared" ref="U78:U82" si="10">E78+I78+M78+Q78</f>
        <v>890.5</v>
      </c>
      <c r="V78" s="123">
        <f t="shared" ref="V78:V79" si="11">F78+J78+N78+R78</f>
        <v>1398</v>
      </c>
      <c r="W78" s="217">
        <f t="shared" ref="W78:W79" si="12">V78-U78</f>
        <v>507.5</v>
      </c>
      <c r="X78" s="262">
        <f t="shared" si="9"/>
        <v>156.99045480067377</v>
      </c>
    </row>
    <row r="79" spans="1:24" ht="18" customHeight="1">
      <c r="A79" s="216" t="s">
        <v>409</v>
      </c>
      <c r="B79" s="460" t="str">
        <f>'4.Кап. інвестиції'!A13</f>
        <v xml:space="preserve">Автобус  для супроводу </v>
      </c>
      <c r="C79" s="461"/>
      <c r="D79" s="462"/>
      <c r="E79" s="215"/>
      <c r="F79" s="216"/>
      <c r="G79" s="216"/>
      <c r="H79" s="123"/>
      <c r="I79" s="261">
        <f>'4.Кап. інвестиції'!C13</f>
        <v>2500</v>
      </c>
      <c r="J79" s="261">
        <f>'4.Кап. інвестиції'!D13</f>
        <v>0</v>
      </c>
      <c r="K79" s="214">
        <f>J79-I79</f>
        <v>-2500</v>
      </c>
      <c r="L79" s="262">
        <v>0</v>
      </c>
      <c r="M79" s="260"/>
      <c r="N79" s="260"/>
      <c r="O79" s="260"/>
      <c r="P79" s="260"/>
      <c r="Q79" s="240"/>
      <c r="R79" s="240"/>
      <c r="S79" s="240"/>
      <c r="T79" s="240"/>
      <c r="U79" s="123">
        <f t="shared" si="10"/>
        <v>2500</v>
      </c>
      <c r="V79" s="123">
        <f t="shared" si="11"/>
        <v>0</v>
      </c>
      <c r="W79" s="217">
        <f t="shared" si="12"/>
        <v>-2500</v>
      </c>
      <c r="X79" s="262">
        <v>0</v>
      </c>
    </row>
    <row r="80" spans="1:24" ht="69.75" customHeight="1">
      <c r="A80" s="123" t="s">
        <v>400</v>
      </c>
      <c r="B80" s="467" t="str">
        <f>'4.Кап. інвестиції'!A16</f>
        <v>модернізація, модифікація (добудова, дообладнання, реконструкція) основних засобів, в т.ч.</v>
      </c>
      <c r="C80" s="468"/>
      <c r="D80" s="469"/>
      <c r="E80" s="215"/>
      <c r="F80" s="216"/>
      <c r="G80" s="216"/>
      <c r="H80" s="123"/>
      <c r="I80" s="226">
        <f>'4.Кап. інвестиції'!C16</f>
        <v>978.6</v>
      </c>
      <c r="J80" s="214">
        <v>0</v>
      </c>
      <c r="K80" s="214">
        <f>J80-I80</f>
        <v>-978.6</v>
      </c>
      <c r="L80" s="126">
        <v>0</v>
      </c>
      <c r="M80" s="240">
        <v>0</v>
      </c>
      <c r="N80" s="240">
        <v>0</v>
      </c>
      <c r="O80" s="240">
        <v>0</v>
      </c>
      <c r="P80" s="240">
        <v>0</v>
      </c>
      <c r="Q80" s="240"/>
      <c r="R80" s="240"/>
      <c r="S80" s="240"/>
      <c r="T80" s="240"/>
      <c r="U80" s="214">
        <f t="shared" si="10"/>
        <v>978.6</v>
      </c>
      <c r="V80" s="214">
        <f>F80+J80+N80+R80</f>
        <v>0</v>
      </c>
      <c r="W80" s="214">
        <f t="shared" si="8"/>
        <v>-978.6</v>
      </c>
      <c r="X80" s="226">
        <v>0</v>
      </c>
    </row>
    <row r="81" spans="1:24" ht="36.75" customHeight="1">
      <c r="A81" s="216" t="s">
        <v>449</v>
      </c>
      <c r="B81" s="470" t="str">
        <f>'4.Кап. інвестиції'!A17</f>
        <v xml:space="preserve">Капітальний  ремонт побутового приміщення на кладовищі </v>
      </c>
      <c r="C81" s="471"/>
      <c r="D81" s="472"/>
      <c r="E81" s="215"/>
      <c r="F81" s="216"/>
      <c r="G81" s="216"/>
      <c r="H81" s="123"/>
      <c r="I81" s="262">
        <f>'4.Кап. інвестиції'!C17</f>
        <v>199.5</v>
      </c>
      <c r="J81" s="262">
        <v>0</v>
      </c>
      <c r="K81" s="217">
        <f t="shared" ref="K81:K82" si="13">J81-I81</f>
        <v>-199.5</v>
      </c>
      <c r="L81" s="123">
        <v>1</v>
      </c>
      <c r="M81" s="240"/>
      <c r="N81" s="240"/>
      <c r="O81" s="240">
        <v>0</v>
      </c>
      <c r="P81" s="240">
        <v>0</v>
      </c>
      <c r="Q81" s="240"/>
      <c r="R81" s="240"/>
      <c r="S81" s="240"/>
      <c r="T81" s="240"/>
      <c r="U81" s="217">
        <f t="shared" si="10"/>
        <v>199.5</v>
      </c>
      <c r="V81" s="217">
        <f t="shared" ref="V81:V82" si="14">F81+J81+N81+R81</f>
        <v>0</v>
      </c>
      <c r="W81" s="217">
        <f t="shared" ref="W81:W82" si="15">V81-U81</f>
        <v>-199.5</v>
      </c>
      <c r="X81" s="262">
        <v>1</v>
      </c>
    </row>
    <row r="82" spans="1:24" ht="40.5" customHeight="1">
      <c r="A82" s="216" t="s">
        <v>450</v>
      </c>
      <c r="B82" s="470" t="str">
        <f>'4.Кап. інвестиції'!A18</f>
        <v>Капітальний  ремонт туалетів на кладовищах міста</v>
      </c>
      <c r="C82" s="471"/>
      <c r="D82" s="472"/>
      <c r="E82" s="215"/>
      <c r="F82" s="216"/>
      <c r="G82" s="216"/>
      <c r="H82" s="123"/>
      <c r="I82" s="262">
        <f>'4.Кап. інвестиції'!C18</f>
        <v>779.1</v>
      </c>
      <c r="J82" s="262">
        <v>0</v>
      </c>
      <c r="K82" s="217">
        <f t="shared" si="13"/>
        <v>-779.1</v>
      </c>
      <c r="L82" s="123">
        <v>2</v>
      </c>
      <c r="M82" s="240"/>
      <c r="N82" s="240"/>
      <c r="O82" s="240">
        <v>0</v>
      </c>
      <c r="P82" s="240">
        <v>0</v>
      </c>
      <c r="Q82" s="240"/>
      <c r="R82" s="240"/>
      <c r="S82" s="240"/>
      <c r="T82" s="240"/>
      <c r="U82" s="217">
        <f t="shared" si="10"/>
        <v>779.1</v>
      </c>
      <c r="V82" s="217">
        <f t="shared" si="14"/>
        <v>0</v>
      </c>
      <c r="W82" s="217">
        <f t="shared" si="15"/>
        <v>-779.1</v>
      </c>
      <c r="X82" s="262">
        <v>2</v>
      </c>
    </row>
    <row r="83" spans="1:24" ht="18.75" customHeight="1">
      <c r="A83" s="32"/>
      <c r="B83" s="457" t="s">
        <v>40</v>
      </c>
      <c r="C83" s="458"/>
      <c r="D83" s="459"/>
      <c r="E83" s="218">
        <v>0</v>
      </c>
      <c r="F83" s="123">
        <v>0</v>
      </c>
      <c r="G83" s="124"/>
      <c r="H83" s="123"/>
      <c r="I83" s="226">
        <f>I75+I80</f>
        <v>6464.6</v>
      </c>
      <c r="J83" s="226">
        <f>J75+J80</f>
        <v>3733</v>
      </c>
      <c r="K83" s="214">
        <f>J83-I83</f>
        <v>-2731.6000000000004</v>
      </c>
      <c r="L83" s="217">
        <f>J83/I83*100</f>
        <v>57.745258794047579</v>
      </c>
      <c r="M83" s="326">
        <v>0</v>
      </c>
      <c r="N83" s="326">
        <v>0</v>
      </c>
      <c r="O83" s="326">
        <f>N83-M83</f>
        <v>0</v>
      </c>
      <c r="P83" s="325">
        <v>0</v>
      </c>
      <c r="Q83" s="326"/>
      <c r="R83" s="326"/>
      <c r="S83" s="326"/>
      <c r="T83" s="326"/>
      <c r="U83" s="126">
        <f>E83+I83+M83+Q83</f>
        <v>6464.6</v>
      </c>
      <c r="V83" s="214">
        <f>V75</f>
        <v>3733</v>
      </c>
      <c r="W83" s="214">
        <f>V83-U83</f>
        <v>-2731.6000000000004</v>
      </c>
      <c r="X83" s="217">
        <f>V83/U83*100</f>
        <v>57.745258794047579</v>
      </c>
    </row>
    <row r="84" spans="1:24" ht="18.75" customHeight="1">
      <c r="A84" s="32"/>
      <c r="B84" s="457" t="s">
        <v>41</v>
      </c>
      <c r="C84" s="458"/>
      <c r="D84" s="459"/>
      <c r="E84" s="219"/>
      <c r="F84" s="32"/>
      <c r="G84" s="118"/>
      <c r="H84" s="32"/>
      <c r="I84" s="262">
        <v>100</v>
      </c>
      <c r="J84" s="217">
        <f>J83/I83*100</f>
        <v>57.745258794047579</v>
      </c>
      <c r="K84" s="217">
        <f>I84-J84</f>
        <v>42.254741205952421</v>
      </c>
      <c r="L84" s="217"/>
      <c r="M84" s="240">
        <v>0</v>
      </c>
      <c r="N84" s="260">
        <v>0</v>
      </c>
      <c r="O84" s="260"/>
      <c r="P84" s="240"/>
      <c r="Q84" s="240"/>
      <c r="R84" s="240"/>
      <c r="S84" s="240"/>
      <c r="T84" s="240"/>
      <c r="U84" s="217">
        <v>100</v>
      </c>
      <c r="V84" s="217">
        <f>V83/U83*100</f>
        <v>57.745258794047579</v>
      </c>
      <c r="W84" s="217">
        <f>U84-V84</f>
        <v>42.254741205952421</v>
      </c>
      <c r="X84" s="217"/>
    </row>
    <row r="86" spans="1:24">
      <c r="A86" s="220" t="s">
        <v>220</v>
      </c>
      <c r="B86" s="8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4">
      <c r="A87" s="452" t="s">
        <v>35</v>
      </c>
      <c r="B87" s="401" t="s">
        <v>224</v>
      </c>
      <c r="C87" s="453" t="s">
        <v>225</v>
      </c>
      <c r="D87" s="453" t="s">
        <v>226</v>
      </c>
      <c r="E87" s="453" t="s">
        <v>221</v>
      </c>
      <c r="F87" s="453" t="s">
        <v>222</v>
      </c>
      <c r="G87" s="437" t="s">
        <v>98</v>
      </c>
      <c r="H87" s="438"/>
      <c r="I87" s="438"/>
      <c r="J87" s="438"/>
      <c r="K87" s="438"/>
      <c r="L87" s="438"/>
      <c r="M87" s="439"/>
      <c r="N87" s="401" t="s">
        <v>401</v>
      </c>
      <c r="O87" s="401"/>
      <c r="P87" s="401"/>
      <c r="Q87" s="401"/>
      <c r="R87" s="401" t="s">
        <v>227</v>
      </c>
      <c r="S87" s="401"/>
      <c r="T87" s="401"/>
      <c r="U87" s="11"/>
      <c r="V87" s="11"/>
      <c r="W87" s="11"/>
    </row>
    <row r="88" spans="1:24">
      <c r="A88" s="452"/>
      <c r="B88" s="401"/>
      <c r="C88" s="454"/>
      <c r="D88" s="454"/>
      <c r="E88" s="454"/>
      <c r="F88" s="454"/>
      <c r="G88" s="433" t="s">
        <v>223</v>
      </c>
      <c r="H88" s="484"/>
      <c r="I88" s="434"/>
      <c r="J88" s="453" t="s">
        <v>228</v>
      </c>
      <c r="K88" s="437" t="s">
        <v>231</v>
      </c>
      <c r="L88" s="486"/>
      <c r="M88" s="487"/>
      <c r="N88" s="401"/>
      <c r="O88" s="401"/>
      <c r="P88" s="401"/>
      <c r="Q88" s="401"/>
      <c r="R88" s="401"/>
      <c r="S88" s="401"/>
      <c r="T88" s="401"/>
      <c r="U88" s="11"/>
      <c r="V88" s="11"/>
      <c r="W88" s="11"/>
    </row>
    <row r="89" spans="1:24" ht="117" customHeight="1">
      <c r="A89" s="452"/>
      <c r="B89" s="401"/>
      <c r="C89" s="455"/>
      <c r="D89" s="455"/>
      <c r="E89" s="455"/>
      <c r="F89" s="455"/>
      <c r="G89" s="435"/>
      <c r="H89" s="485"/>
      <c r="I89" s="436"/>
      <c r="J89" s="455"/>
      <c r="K89" s="221" t="s">
        <v>229</v>
      </c>
      <c r="L89" s="196" t="s">
        <v>230</v>
      </c>
      <c r="M89" s="196" t="s">
        <v>402</v>
      </c>
      <c r="N89" s="401"/>
      <c r="O89" s="401"/>
      <c r="P89" s="401"/>
      <c r="Q89" s="401"/>
      <c r="R89" s="401"/>
      <c r="S89" s="401"/>
      <c r="T89" s="401"/>
      <c r="U89" s="11"/>
      <c r="V89" s="11"/>
      <c r="W89" s="11"/>
    </row>
    <row r="90" spans="1:24">
      <c r="A90" s="48">
        <v>1</v>
      </c>
      <c r="B90" s="89">
        <v>2</v>
      </c>
      <c r="C90" s="89">
        <v>3</v>
      </c>
      <c r="D90" s="89">
        <v>4</v>
      </c>
      <c r="E90" s="89">
        <v>5</v>
      </c>
      <c r="F90" s="89">
        <v>6</v>
      </c>
      <c r="G90" s="426">
        <v>7</v>
      </c>
      <c r="H90" s="440"/>
      <c r="I90" s="427"/>
      <c r="J90" s="89">
        <v>8</v>
      </c>
      <c r="K90" s="89">
        <v>9</v>
      </c>
      <c r="L90" s="89">
        <v>10</v>
      </c>
      <c r="M90" s="89">
        <v>11</v>
      </c>
      <c r="N90" s="482">
        <v>12</v>
      </c>
      <c r="O90" s="482"/>
      <c r="P90" s="482"/>
      <c r="Q90" s="482"/>
      <c r="R90" s="479">
        <v>13</v>
      </c>
      <c r="S90" s="480"/>
      <c r="T90" s="481"/>
      <c r="V90" s="82"/>
      <c r="W90" s="82"/>
      <c r="X90" s="82"/>
    </row>
    <row r="91" spans="1:24">
      <c r="A91" s="32"/>
      <c r="B91" s="118"/>
      <c r="C91" s="32"/>
      <c r="D91" s="32"/>
      <c r="E91" s="32"/>
      <c r="F91" s="32"/>
      <c r="G91" s="473"/>
      <c r="H91" s="474"/>
      <c r="I91" s="475"/>
      <c r="J91" s="32"/>
      <c r="K91" s="32"/>
      <c r="L91" s="32"/>
      <c r="M91" s="32"/>
      <c r="N91" s="483"/>
      <c r="O91" s="477"/>
      <c r="P91" s="477"/>
      <c r="Q91" s="478"/>
      <c r="R91" s="476"/>
      <c r="S91" s="477"/>
      <c r="T91" s="478"/>
      <c r="V91" s="82"/>
      <c r="W91" s="82"/>
      <c r="X91" s="82"/>
    </row>
    <row r="92" spans="1:24">
      <c r="A92" s="32"/>
      <c r="B92" s="118"/>
      <c r="C92" s="32"/>
      <c r="D92" s="32"/>
      <c r="E92" s="32"/>
      <c r="F92" s="32"/>
      <c r="G92" s="473"/>
      <c r="H92" s="474"/>
      <c r="I92" s="475"/>
      <c r="J92" s="32"/>
      <c r="K92" s="32"/>
      <c r="L92" s="32"/>
      <c r="M92" s="32"/>
      <c r="N92" s="476"/>
      <c r="O92" s="477"/>
      <c r="P92" s="477"/>
      <c r="Q92" s="478"/>
      <c r="R92" s="476"/>
      <c r="S92" s="477"/>
      <c r="T92" s="478"/>
    </row>
    <row r="94" spans="1:24">
      <c r="B94" s="222" t="s">
        <v>403</v>
      </c>
      <c r="C94" s="172"/>
      <c r="D94" s="223"/>
      <c r="E94" s="223"/>
      <c r="F94" s="172"/>
      <c r="G94" s="172"/>
      <c r="H94" s="172"/>
      <c r="I94" s="172"/>
      <c r="J94" s="172"/>
      <c r="K94" s="223"/>
      <c r="L94" s="172" t="s">
        <v>404</v>
      </c>
      <c r="M94" s="172"/>
      <c r="N94" s="12"/>
    </row>
    <row r="95" spans="1:24">
      <c r="B95" s="92" t="s">
        <v>56</v>
      </c>
      <c r="C95" s="224"/>
      <c r="D95" s="224"/>
      <c r="E95" s="224"/>
      <c r="F95" s="224"/>
      <c r="G95" s="224" t="s">
        <v>57</v>
      </c>
      <c r="H95" s="224"/>
      <c r="I95" s="224"/>
      <c r="J95" s="224"/>
      <c r="K95" s="224"/>
      <c r="L95" s="224" t="s">
        <v>405</v>
      </c>
      <c r="M95" s="224"/>
      <c r="N95" s="224"/>
    </row>
  </sheetData>
  <mergeCells count="162">
    <mergeCell ref="G92:I92"/>
    <mergeCell ref="N92:Q92"/>
    <mergeCell ref="R92:T92"/>
    <mergeCell ref="I72:L72"/>
    <mergeCell ref="G90:I90"/>
    <mergeCell ref="N90:Q90"/>
    <mergeCell ref="R90:T90"/>
    <mergeCell ref="G91:I91"/>
    <mergeCell ref="N91:Q91"/>
    <mergeCell ref="R91:T91"/>
    <mergeCell ref="G87:M87"/>
    <mergeCell ref="N87:Q89"/>
    <mergeCell ref="R87:T89"/>
    <mergeCell ref="G88:I89"/>
    <mergeCell ref="J88:J89"/>
    <mergeCell ref="K88:M88"/>
    <mergeCell ref="E72:H72"/>
    <mergeCell ref="A87:A89"/>
    <mergeCell ref="B87:B89"/>
    <mergeCell ref="C87:C89"/>
    <mergeCell ref="D87:D89"/>
    <mergeCell ref="E87:E89"/>
    <mergeCell ref="F87:F89"/>
    <mergeCell ref="U72:X72"/>
    <mergeCell ref="A72:A73"/>
    <mergeCell ref="M72:P72"/>
    <mergeCell ref="Q72:T72"/>
    <mergeCell ref="B72:D73"/>
    <mergeCell ref="B83:D83"/>
    <mergeCell ref="B84:D84"/>
    <mergeCell ref="B78:D78"/>
    <mergeCell ref="B79:D79"/>
    <mergeCell ref="B75:D75"/>
    <mergeCell ref="B76:D76"/>
    <mergeCell ref="B74:D74"/>
    <mergeCell ref="B77:D77"/>
    <mergeCell ref="B80:D80"/>
    <mergeCell ref="B81:D81"/>
    <mergeCell ref="B82:D82"/>
    <mergeCell ref="K66:K67"/>
    <mergeCell ref="L66:L67"/>
    <mergeCell ref="G68:I68"/>
    <mergeCell ref="G69:I69"/>
    <mergeCell ref="G70:I70"/>
    <mergeCell ref="A71:E71"/>
    <mergeCell ref="A64:L64"/>
    <mergeCell ref="A65:A67"/>
    <mergeCell ref="B65:B67"/>
    <mergeCell ref="C65:C67"/>
    <mergeCell ref="D65:D67"/>
    <mergeCell ref="E65:E67"/>
    <mergeCell ref="F65:L65"/>
    <mergeCell ref="F66:F67"/>
    <mergeCell ref="G66:I67"/>
    <mergeCell ref="J66:J67"/>
    <mergeCell ref="E61:F61"/>
    <mergeCell ref="G61:H61"/>
    <mergeCell ref="E62:F62"/>
    <mergeCell ref="G62:H62"/>
    <mergeCell ref="E63:F63"/>
    <mergeCell ref="A58:L58"/>
    <mergeCell ref="A59:A60"/>
    <mergeCell ref="B59:B60"/>
    <mergeCell ref="C59:C60"/>
    <mergeCell ref="D59:D60"/>
    <mergeCell ref="E59:F60"/>
    <mergeCell ref="G59:L59"/>
    <mergeCell ref="G60:H60"/>
    <mergeCell ref="G63:H63"/>
    <mergeCell ref="A42:G42"/>
    <mergeCell ref="A48:G48"/>
    <mergeCell ref="A49:A50"/>
    <mergeCell ref="B49:B50"/>
    <mergeCell ref="C49:D49"/>
    <mergeCell ref="E49:F49"/>
    <mergeCell ref="G49:G50"/>
    <mergeCell ref="D32:E32"/>
    <mergeCell ref="F32:G32"/>
    <mergeCell ref="N32:O32"/>
    <mergeCell ref="A34:H34"/>
    <mergeCell ref="A35:A36"/>
    <mergeCell ref="B35:C35"/>
    <mergeCell ref="D35:E35"/>
    <mergeCell ref="F35:G35"/>
    <mergeCell ref="D30:E30"/>
    <mergeCell ref="F30:G30"/>
    <mergeCell ref="N30:O30"/>
    <mergeCell ref="D31:E31"/>
    <mergeCell ref="F31:G31"/>
    <mergeCell ref="N31:O31"/>
    <mergeCell ref="D28:E28"/>
    <mergeCell ref="F28:G28"/>
    <mergeCell ref="N28:O28"/>
    <mergeCell ref="D29:E29"/>
    <mergeCell ref="F29:G29"/>
    <mergeCell ref="N29:O29"/>
    <mergeCell ref="D26:E26"/>
    <mergeCell ref="F26:G26"/>
    <mergeCell ref="N26:O26"/>
    <mergeCell ref="D27:E27"/>
    <mergeCell ref="F27:G27"/>
    <mergeCell ref="N27:O27"/>
    <mergeCell ref="D24:E24"/>
    <mergeCell ref="F24:G24"/>
    <mergeCell ref="N24:O24"/>
    <mergeCell ref="D25:E25"/>
    <mergeCell ref="F25:G25"/>
    <mergeCell ref="N25:O25"/>
    <mergeCell ref="D22:E22"/>
    <mergeCell ref="F22:G22"/>
    <mergeCell ref="N22:O22"/>
    <mergeCell ref="D23:E23"/>
    <mergeCell ref="F23:G23"/>
    <mergeCell ref="N23:O23"/>
    <mergeCell ref="D20:E20"/>
    <mergeCell ref="F20:G20"/>
    <mergeCell ref="N20:O20"/>
    <mergeCell ref="D21:E21"/>
    <mergeCell ref="F21:G21"/>
    <mergeCell ref="N21:O21"/>
    <mergeCell ref="D18:E18"/>
    <mergeCell ref="F18:G18"/>
    <mergeCell ref="N18:O18"/>
    <mergeCell ref="D19:E19"/>
    <mergeCell ref="F19:G19"/>
    <mergeCell ref="N19:O19"/>
    <mergeCell ref="D16:E16"/>
    <mergeCell ref="F16:G16"/>
    <mergeCell ref="N16:O16"/>
    <mergeCell ref="D17:E17"/>
    <mergeCell ref="F17:G17"/>
    <mergeCell ref="N17:O17"/>
    <mergeCell ref="D14:E14"/>
    <mergeCell ref="F14:G14"/>
    <mergeCell ref="N14:O14"/>
    <mergeCell ref="D15:E15"/>
    <mergeCell ref="F15:G15"/>
    <mergeCell ref="N15:O15"/>
    <mergeCell ref="D12:E12"/>
    <mergeCell ref="F12:G12"/>
    <mergeCell ref="N12:O12"/>
    <mergeCell ref="D13:E13"/>
    <mergeCell ref="F13:G13"/>
    <mergeCell ref="N13:O13"/>
    <mergeCell ref="D10:E10"/>
    <mergeCell ref="F10:G10"/>
    <mergeCell ref="N10:O10"/>
    <mergeCell ref="D11:E11"/>
    <mergeCell ref="F11:G11"/>
    <mergeCell ref="N11:O11"/>
    <mergeCell ref="D8:E8"/>
    <mergeCell ref="F8:G8"/>
    <mergeCell ref="N8:O8"/>
    <mergeCell ref="D9:E9"/>
    <mergeCell ref="F9:G9"/>
    <mergeCell ref="N9:O9"/>
    <mergeCell ref="A2:G2"/>
    <mergeCell ref="A3:G3"/>
    <mergeCell ref="A4:G4"/>
    <mergeCell ref="A5:G5"/>
    <mergeCell ref="A6:G6"/>
    <mergeCell ref="A7:G7"/>
  </mergeCells>
  <printOptions horizontalCentered="1"/>
  <pageMargins left="0.35433070866141736" right="0.19685039370078741" top="0.39370078740157483" bottom="0.39370078740157483" header="0.31496062992125984" footer="0.31496062992125984"/>
  <pageSetup paperSize="9" scale="20" orientation="landscape" r:id="rId1"/>
  <rowBreaks count="3" manualBreakCount="3">
    <brk id="33" max="16383" man="1"/>
    <brk id="57" max="16383" man="1"/>
    <brk id="70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3"/>
  <sheetViews>
    <sheetView tabSelected="1" view="pageBreakPreview" topLeftCell="A6" zoomScale="60" zoomScaleNormal="64" workbookViewId="0">
      <selection activeCell="E19" sqref="E19"/>
    </sheetView>
  </sheetViews>
  <sheetFormatPr defaultRowHeight="12.75"/>
  <cols>
    <col min="1" max="1" width="53.28515625" style="180" customWidth="1"/>
    <col min="2" max="2" width="7.85546875" style="180" customWidth="1"/>
    <col min="3" max="3" width="14.7109375" style="180" customWidth="1"/>
    <col min="4" max="4" width="13.85546875" style="180" customWidth="1"/>
    <col min="5" max="5" width="16.42578125" style="180" customWidth="1"/>
    <col min="6" max="6" width="31.42578125" style="180" customWidth="1"/>
  </cols>
  <sheetData>
    <row r="1" spans="1:6" ht="18.75" customHeight="1">
      <c r="A1" s="488" t="s">
        <v>444</v>
      </c>
      <c r="B1" s="488"/>
      <c r="C1" s="488"/>
      <c r="D1" s="488"/>
      <c r="E1" s="488"/>
      <c r="F1" s="488"/>
    </row>
    <row r="4" spans="1:6" ht="81.75" customHeight="1">
      <c r="A4" s="181" t="s">
        <v>169</v>
      </c>
      <c r="B4" s="181" t="s">
        <v>0</v>
      </c>
      <c r="C4" s="181" t="s">
        <v>340</v>
      </c>
      <c r="D4" s="181" t="s">
        <v>341</v>
      </c>
      <c r="E4" s="181" t="s">
        <v>342</v>
      </c>
      <c r="F4" s="181" t="s">
        <v>343</v>
      </c>
    </row>
    <row r="5" spans="1:6" ht="16.5" customHeight="1">
      <c r="A5" s="182">
        <v>1</v>
      </c>
      <c r="B5" s="182">
        <v>2</v>
      </c>
      <c r="C5" s="182">
        <v>3</v>
      </c>
      <c r="D5" s="182">
        <v>4</v>
      </c>
      <c r="E5" s="182">
        <v>5</v>
      </c>
      <c r="F5" s="182">
        <v>6</v>
      </c>
    </row>
    <row r="6" spans="1:6" ht="23.25" customHeight="1">
      <c r="A6" s="489" t="s">
        <v>344</v>
      </c>
      <c r="B6" s="490"/>
      <c r="C6" s="490"/>
      <c r="D6" s="490"/>
      <c r="E6" s="490"/>
      <c r="F6" s="491"/>
    </row>
    <row r="7" spans="1:6" ht="76.5" customHeight="1">
      <c r="A7" s="4" t="s">
        <v>371</v>
      </c>
      <c r="B7" s="86">
        <v>5000</v>
      </c>
      <c r="C7" s="183"/>
      <c r="D7" s="184">
        <v>17.809999999999999</v>
      </c>
      <c r="E7" s="184">
        <f>'1.Фінансовий результат'!D29/'1.Фінансовий результат'!D13*100</f>
        <v>16.037228864052341</v>
      </c>
      <c r="F7" s="184"/>
    </row>
    <row r="8" spans="1:6" ht="57" customHeight="1">
      <c r="A8" s="185" t="s">
        <v>345</v>
      </c>
      <c r="B8" s="86">
        <v>5020</v>
      </c>
      <c r="C8" s="183" t="s">
        <v>346</v>
      </c>
      <c r="D8" s="186">
        <v>2.5000000000000001E-3</v>
      </c>
      <c r="E8" s="331">
        <f>'1.Фінансовий результат'!D99/19022</f>
        <v>3.0089370202923348E-3</v>
      </c>
      <c r="F8" s="187" t="s">
        <v>347</v>
      </c>
    </row>
    <row r="9" spans="1:6" ht="77.25" customHeight="1">
      <c r="A9" s="185" t="s">
        <v>348</v>
      </c>
      <c r="B9" s="86">
        <v>5030</v>
      </c>
      <c r="C9" s="183" t="s">
        <v>346</v>
      </c>
      <c r="D9" s="186">
        <v>2.7000000000000001E-3</v>
      </c>
      <c r="E9" s="331">
        <f>'1.Фінансовий результат'!D99/17097</f>
        <v>3.3477218225420129E-3</v>
      </c>
      <c r="F9" s="188"/>
    </row>
    <row r="10" spans="1:6" ht="78.75" customHeight="1">
      <c r="A10" s="185" t="s">
        <v>349</v>
      </c>
      <c r="B10" s="86">
        <v>5040</v>
      </c>
      <c r="C10" s="183" t="s">
        <v>350</v>
      </c>
      <c r="D10" s="186">
        <v>1.8E-3</v>
      </c>
      <c r="E10" s="331">
        <f>'1.Фінансовий результат'!D99/'1.Фінансовий результат'!D13</f>
        <v>2.2289029946649321E-3</v>
      </c>
      <c r="F10" s="187" t="s">
        <v>351</v>
      </c>
    </row>
    <row r="11" spans="1:6" ht="21.75" customHeight="1">
      <c r="A11" s="489" t="s">
        <v>352</v>
      </c>
      <c r="B11" s="492"/>
      <c r="C11" s="492"/>
      <c r="D11" s="492"/>
      <c r="E11" s="492"/>
      <c r="F11" s="493"/>
    </row>
    <row r="12" spans="1:6" ht="90.75" customHeight="1">
      <c r="A12" s="189" t="s">
        <v>353</v>
      </c>
      <c r="B12" s="86">
        <v>5110</v>
      </c>
      <c r="C12" s="183" t="s">
        <v>354</v>
      </c>
      <c r="D12" s="190">
        <v>13.093</v>
      </c>
      <c r="E12" s="344">
        <f>17097/(0+1925)</f>
        <v>8.8815584415584414</v>
      </c>
      <c r="F12" s="187" t="s">
        <v>355</v>
      </c>
    </row>
    <row r="13" spans="1:6" ht="77.25" customHeight="1">
      <c r="A13" s="189" t="s">
        <v>356</v>
      </c>
      <c r="B13" s="86">
        <v>5120</v>
      </c>
      <c r="C13" s="183" t="s">
        <v>357</v>
      </c>
      <c r="D13" s="190">
        <v>2.16</v>
      </c>
      <c r="E13" s="344">
        <f>3392/1925</f>
        <v>1.7620779220779221</v>
      </c>
      <c r="F13" s="187" t="s">
        <v>358</v>
      </c>
    </row>
    <row r="14" spans="1:6" ht="23.25" customHeight="1">
      <c r="A14" s="489" t="s">
        <v>359</v>
      </c>
      <c r="B14" s="492"/>
      <c r="C14" s="492"/>
      <c r="D14" s="492"/>
      <c r="E14" s="492"/>
      <c r="F14" s="493"/>
    </row>
    <row r="15" spans="1:6" ht="102" customHeight="1">
      <c r="A15" s="189" t="s">
        <v>360</v>
      </c>
      <c r="B15" s="86">
        <v>5200</v>
      </c>
      <c r="C15" s="184"/>
      <c r="D15" s="184">
        <v>20.38</v>
      </c>
      <c r="E15" s="190">
        <f>'4.Кап. інвестиції'!D7/'1.Фінансовий результат'!D109</f>
        <v>14.357692307692307</v>
      </c>
      <c r="F15" s="191"/>
    </row>
    <row r="16" spans="1:6" ht="141" customHeight="1">
      <c r="A16" s="189" t="s">
        <v>361</v>
      </c>
      <c r="B16" s="86">
        <v>5210</v>
      </c>
      <c r="C16" s="186"/>
      <c r="D16" s="184">
        <v>0.214</v>
      </c>
      <c r="E16" s="190">
        <f>'4.Кап. інвестиції'!D7/'1.Фінансовий результат'!D13</f>
        <v>0.14537170450562717</v>
      </c>
      <c r="F16" s="192"/>
    </row>
    <row r="17" spans="1:6" ht="75" customHeight="1">
      <c r="A17" s="189" t="s">
        <v>362</v>
      </c>
      <c r="B17" s="86">
        <v>5220</v>
      </c>
      <c r="C17" s="183" t="s">
        <v>346</v>
      </c>
      <c r="D17" s="184">
        <v>0.35199999999999998</v>
      </c>
      <c r="E17" s="190">
        <f>5604/18906</f>
        <v>0.29641383687718187</v>
      </c>
      <c r="F17" s="188" t="s">
        <v>363</v>
      </c>
    </row>
    <row r="18" spans="1:6" ht="18.75">
      <c r="A18" s="494" t="s">
        <v>364</v>
      </c>
      <c r="B18" s="490"/>
      <c r="C18" s="490"/>
      <c r="D18" s="490"/>
      <c r="E18" s="490"/>
      <c r="F18" s="491"/>
    </row>
    <row r="19" spans="1:6" ht="131.25" customHeight="1">
      <c r="A19" s="185" t="s">
        <v>365</v>
      </c>
      <c r="B19" s="86">
        <v>5300</v>
      </c>
      <c r="C19" s="183"/>
      <c r="D19" s="190"/>
      <c r="E19" s="190"/>
      <c r="F19" s="188"/>
    </row>
    <row r="21" spans="1:6" ht="18.75">
      <c r="A21" s="162" t="s">
        <v>366</v>
      </c>
      <c r="B21" s="23"/>
      <c r="C21" s="495" t="s">
        <v>367</v>
      </c>
      <c r="D21" s="495"/>
      <c r="E21" s="193"/>
      <c r="F21" s="172" t="s">
        <v>368</v>
      </c>
    </row>
    <row r="22" spans="1:6" ht="15">
      <c r="A22" s="134" t="s">
        <v>369</v>
      </c>
      <c r="B22" s="194"/>
      <c r="C22" s="406" t="s">
        <v>57</v>
      </c>
      <c r="D22" s="406"/>
      <c r="E22" s="91"/>
      <c r="F22" s="92" t="s">
        <v>370</v>
      </c>
    </row>
    <row r="23" spans="1:6" ht="15">
      <c r="A23" s="195"/>
      <c r="B23" s="195"/>
      <c r="C23" s="195"/>
      <c r="D23" s="195"/>
      <c r="E23" s="195"/>
      <c r="F23" s="195"/>
    </row>
  </sheetData>
  <mergeCells count="7">
    <mergeCell ref="C22:D22"/>
    <mergeCell ref="A1:F1"/>
    <mergeCell ref="A6:F6"/>
    <mergeCell ref="A11:F11"/>
    <mergeCell ref="A14:F14"/>
    <mergeCell ref="A18:F18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76"/>
  <sheetViews>
    <sheetView workbookViewId="0">
      <selection activeCell="G100" sqref="G100"/>
    </sheetView>
  </sheetViews>
  <sheetFormatPr defaultRowHeight="12.75"/>
  <cols>
    <col min="1" max="1" width="24.28515625" customWidth="1"/>
  </cols>
  <sheetData>
    <row r="9" spans="1:4">
      <c r="A9" t="s">
        <v>123</v>
      </c>
      <c r="B9">
        <v>21561</v>
      </c>
      <c r="C9" s="339">
        <f>B9/$B$14*100</f>
        <v>83.963549982475953</v>
      </c>
      <c r="D9">
        <v>84</v>
      </c>
    </row>
    <row r="10" spans="1:4">
      <c r="A10" t="s">
        <v>102</v>
      </c>
      <c r="B10">
        <v>3074</v>
      </c>
      <c r="C10" s="339">
        <f t="shared" ref="C10:C14" si="0">B10/$B$14*100</f>
        <v>11.970871139841895</v>
      </c>
      <c r="D10">
        <v>12</v>
      </c>
    </row>
    <row r="11" spans="1:4">
      <c r="A11" t="s">
        <v>99</v>
      </c>
      <c r="B11">
        <v>909</v>
      </c>
      <c r="C11" s="339">
        <f t="shared" si="0"/>
        <v>3.5398574710853223</v>
      </c>
      <c r="D11">
        <v>3.6</v>
      </c>
    </row>
    <row r="12" spans="1:4">
      <c r="A12" t="s">
        <v>12</v>
      </c>
      <c r="B12">
        <v>65</v>
      </c>
      <c r="C12" s="339">
        <f t="shared" si="0"/>
        <v>0.25312512169477003</v>
      </c>
      <c r="D12">
        <v>0.3</v>
      </c>
    </row>
    <row r="13" spans="1:4">
      <c r="A13" t="s">
        <v>445</v>
      </c>
      <c r="B13">
        <v>13</v>
      </c>
      <c r="C13" s="339">
        <f t="shared" si="0"/>
        <v>5.0625024338954008E-2</v>
      </c>
      <c r="D13">
        <v>0.1</v>
      </c>
    </row>
    <row r="14" spans="1:4">
      <c r="B14">
        <v>25679</v>
      </c>
      <c r="C14" s="340">
        <f t="shared" si="0"/>
        <v>100</v>
      </c>
    </row>
    <row r="18" spans="1:2">
      <c r="B18">
        <v>25622</v>
      </c>
    </row>
    <row r="19" spans="1:2">
      <c r="B19">
        <f>B14-B18</f>
        <v>57</v>
      </c>
    </row>
    <row r="21" spans="1:2">
      <c r="A21" t="s">
        <v>2</v>
      </c>
      <c r="B21">
        <v>11702</v>
      </c>
    </row>
    <row r="22" spans="1:2">
      <c r="A22" t="s">
        <v>3</v>
      </c>
      <c r="B22">
        <v>3074</v>
      </c>
    </row>
    <row r="23" spans="1:2">
      <c r="A23" t="s">
        <v>446</v>
      </c>
      <c r="B23">
        <v>909</v>
      </c>
    </row>
    <row r="24" spans="1:2">
      <c r="A24" t="s">
        <v>4</v>
      </c>
      <c r="B24">
        <v>65</v>
      </c>
    </row>
    <row r="25" spans="1:2">
      <c r="A25" t="s">
        <v>12</v>
      </c>
      <c r="B25">
        <v>13</v>
      </c>
    </row>
    <row r="39" spans="1:2">
      <c r="A39" t="s">
        <v>2</v>
      </c>
      <c r="B39">
        <v>11702</v>
      </c>
    </row>
    <row r="40" spans="1:2">
      <c r="A40" t="s">
        <v>3</v>
      </c>
      <c r="B40">
        <v>2438</v>
      </c>
    </row>
    <row r="41" spans="1:2">
      <c r="A41" t="s">
        <v>446</v>
      </c>
      <c r="B41">
        <v>9232</v>
      </c>
    </row>
    <row r="42" spans="1:2">
      <c r="A42" t="s">
        <v>4</v>
      </c>
      <c r="B42">
        <v>260</v>
      </c>
    </row>
    <row r="43" spans="1:2">
      <c r="A43" t="s">
        <v>12</v>
      </c>
      <c r="B43">
        <v>1977</v>
      </c>
    </row>
    <row r="47" spans="1:2">
      <c r="B47">
        <v>25679</v>
      </c>
    </row>
    <row r="48" spans="1:2">
      <c r="B48">
        <v>25622</v>
      </c>
    </row>
    <row r="49" spans="2:2">
      <c r="B49">
        <f>B47-B48</f>
        <v>57</v>
      </c>
    </row>
    <row r="75" spans="1:4" ht="18.75">
      <c r="A75" s="341" t="s">
        <v>447</v>
      </c>
      <c r="B75">
        <v>19444.3</v>
      </c>
      <c r="D75">
        <v>6650.7</v>
      </c>
    </row>
    <row r="76" spans="1:4">
      <c r="A76" t="s">
        <v>448</v>
      </c>
      <c r="B76">
        <v>6650.7</v>
      </c>
      <c r="D76">
        <v>19444.3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0. Фінплан-зведені показники</vt:lpstr>
      <vt:lpstr>1.Фінансовий результат</vt:lpstr>
      <vt:lpstr>2.Розрахунки з бюджетом</vt:lpstr>
      <vt:lpstr>3.Рух грошових коштів</vt:lpstr>
      <vt:lpstr>4.Кап. інвестиції</vt:lpstr>
      <vt:lpstr>5. Інша інформація</vt:lpstr>
      <vt:lpstr>6. Кофіцієнти</vt:lpstr>
      <vt:lpstr>Лист1</vt:lpstr>
      <vt:lpstr>'1.Фінансовий результат'!Область_печати</vt:lpstr>
      <vt:lpstr>'2.Розрахунки з бюджетом'!Область_печати</vt:lpstr>
      <vt:lpstr>'3.Рух грошових коштів'!Область_печати</vt:lpstr>
      <vt:lpstr>'4.Кап. інвестиції'!Область_печати</vt:lpstr>
      <vt:lpstr>'5. Інша інформація'!Область_печати</vt:lpstr>
      <vt:lpstr>'6. Кофіцієнти'!Область_печати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Плановий</cp:lastModifiedBy>
  <cp:lastPrinted>2021-03-17T10:53:43Z</cp:lastPrinted>
  <dcterms:created xsi:type="dcterms:W3CDTF">2003-03-13T16:00:22Z</dcterms:created>
  <dcterms:modified xsi:type="dcterms:W3CDTF">2021-03-17T13:33:05Z</dcterms:modified>
</cp:coreProperties>
</file>