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905" yWindow="240" windowWidth="13965" windowHeight="10005" tabRatio="792" firstSheet="4" activeTab="8"/>
  </bookViews>
  <sheets>
    <sheet name="0. Фінплан-зведені показники" sheetId="20" r:id="rId1"/>
    <sheet name="0.1.Фінплан - зведені показники" sheetId="14" state="hidden" r:id="rId2"/>
    <sheet name="1.Фінансовий результат" sheetId="21" r:id="rId3"/>
    <sheet name="1.1.Фінансовий результат" sheetId="2" state="hidden" r:id="rId4"/>
    <sheet name="2.Розрахунки з бюджетом" sheetId="23" r:id="rId5"/>
    <sheet name="2.1Розрахунки з бюджетом" sheetId="19" state="hidden" r:id="rId6"/>
    <sheet name="3.Рух грошових коштів" sheetId="24" r:id="rId7"/>
    <sheet name="4.Кап. інвестиції" sheetId="22" r:id="rId8"/>
    <sheet name="5. Інша інформація" sheetId="25" r:id="rId9"/>
    <sheet name="6. Кофіцієнти" sheetId="26" r:id="rId10"/>
    <sheet name="3.1.Рух грошових коштів" sheetId="18" state="hidden" r:id="rId11"/>
    <sheet name="4.1.Кап. інвестиції" sheetId="3" state="hidden" r:id="rId12"/>
    <sheet name="5.1. Інша інформація" sheetId="10" state="hidden" r:id="rId13"/>
    <sheet name="Лист1" sheetId="2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1">'0.1.Фінплан - зведені показники'!$7:$7</definedName>
    <definedName name="_xlnm.Print_Titles" localSheetId="3">'1.1.Фінансовий результат'!$5:$5</definedName>
    <definedName name="_xlnm.Print_Titles" localSheetId="5">'2.1Розрахунки з бюджетом'!$6:$6</definedName>
    <definedName name="_xlnm.Print_Titles" localSheetId="10">'3.1.Рух грошових коштів'!$6:$6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'0.1.Фінплан - зведені показники'!$A$1:$J$42</definedName>
    <definedName name="_xlnm.Print_Area" localSheetId="3">'1.1.Фінансовий результат'!$A$1:$J$112</definedName>
    <definedName name="_xlnm.Print_Area" localSheetId="2">'1.Фінансовий результат'!$A$1:$G$110</definedName>
    <definedName name="_xlnm.Print_Area" localSheetId="5">'2.1Розрахунки з бюджетом'!$A$1:$J$43</definedName>
    <definedName name="_xlnm.Print_Area" localSheetId="4">'2.Розрахунки з бюджетом'!$A$1:$G$41</definedName>
    <definedName name="_xlnm.Print_Area" localSheetId="10">'3.1.Рух грошових коштів'!$A$1:$J$80</definedName>
    <definedName name="_xlnm.Print_Area" localSheetId="6">'3.Рух грошових коштів'!$A$1:$G$78</definedName>
    <definedName name="_xlnm.Print_Area" localSheetId="11">'4.1.Кап. інвестиції'!$A$1:$J$26</definedName>
    <definedName name="_xlnm.Print_Area" localSheetId="12">'5.1. Інша інформація'!$A$70:$AE$100</definedName>
    <definedName name="_xlnm.Print_Area" localSheetId="9">'6. Кофіцієнти'!$A$1:$F$22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C18" i="27" l="1"/>
  <c r="C19" i="27"/>
  <c r="B19" i="27"/>
  <c r="C17" i="27"/>
  <c r="C16" i="27"/>
  <c r="C15" i="27"/>
  <c r="B18" i="27"/>
  <c r="B17" i="27"/>
  <c r="B16" i="27"/>
  <c r="C13" i="27"/>
  <c r="A12" i="27"/>
  <c r="C12" i="27"/>
  <c r="C11" i="27"/>
  <c r="A11" i="27"/>
  <c r="C10" i="27"/>
  <c r="D10" i="27"/>
  <c r="D7" i="27"/>
  <c r="D8" i="27"/>
  <c r="D9" i="27"/>
  <c r="D5" i="27"/>
  <c r="D4" i="27"/>
  <c r="C9" i="27"/>
  <c r="C4" i="27"/>
  <c r="C5" i="27"/>
  <c r="C6" i="27"/>
  <c r="C7" i="27"/>
  <c r="C8" i="27"/>
  <c r="C3" i="27"/>
  <c r="D6" i="27" l="1"/>
  <c r="E62" i="25"/>
  <c r="D75" i="24" l="1"/>
  <c r="H32" i="21"/>
  <c r="C43" i="20" l="1"/>
  <c r="C42" i="20"/>
  <c r="C41" i="20"/>
  <c r="D115" i="21"/>
  <c r="H56" i="24"/>
  <c r="C24" i="24"/>
  <c r="C22" i="24"/>
  <c r="C21" i="24"/>
  <c r="C18" i="24"/>
  <c r="H39" i="24"/>
  <c r="D18" i="23"/>
  <c r="H59" i="24" s="1"/>
  <c r="H18" i="23"/>
  <c r="H36" i="23"/>
  <c r="H107" i="21"/>
  <c r="D102" i="21"/>
  <c r="D103" i="21"/>
  <c r="I103" i="21" l="1"/>
  <c r="D22" i="21"/>
  <c r="D14" i="21" s="1"/>
  <c r="I102" i="21" l="1"/>
  <c r="I104" i="21" s="1"/>
  <c r="I18" i="25"/>
  <c r="C18" i="25"/>
  <c r="C19" i="25" s="1"/>
  <c r="E17" i="26"/>
  <c r="D15" i="26"/>
  <c r="H15" i="26"/>
  <c r="E13" i="26"/>
  <c r="E12" i="26"/>
  <c r="C26" i="25"/>
  <c r="B18" i="25"/>
  <c r="D9" i="22" l="1"/>
  <c r="D43" i="20"/>
  <c r="D42" i="20"/>
  <c r="D41" i="20"/>
  <c r="D17" i="26"/>
  <c r="D13" i="26"/>
  <c r="D12" i="26"/>
  <c r="D10" i="26"/>
  <c r="D9" i="26"/>
  <c r="D8" i="26"/>
  <c r="D35" i="23"/>
  <c r="D34" i="23"/>
  <c r="D33" i="23"/>
  <c r="D24" i="24"/>
  <c r="T80" i="25" l="1"/>
  <c r="T79" i="25"/>
  <c r="T78" i="25"/>
  <c r="T77" i="25"/>
  <c r="T76" i="25"/>
  <c r="I63" i="25"/>
  <c r="J63" i="25" s="1"/>
  <c r="L62" i="25"/>
  <c r="D106" i="21"/>
  <c r="D101" i="21"/>
  <c r="D104" i="21" l="1"/>
  <c r="I101" i="21"/>
  <c r="E63" i="25"/>
  <c r="D32" i="21" s="1"/>
  <c r="D105" i="21"/>
  <c r="H26" i="23" l="1"/>
  <c r="C21" i="25"/>
  <c r="D21" i="24"/>
  <c r="D37" i="23"/>
  <c r="D22" i="24"/>
  <c r="V83" i="25"/>
  <c r="U83" i="25"/>
  <c r="W83" i="25" s="1"/>
  <c r="K83" i="25"/>
  <c r="J76" i="25"/>
  <c r="J77" i="25"/>
  <c r="J78" i="25"/>
  <c r="J79" i="25"/>
  <c r="J80" i="25"/>
  <c r="V80" i="25" s="1"/>
  <c r="J81" i="25"/>
  <c r="V81" i="25" s="1"/>
  <c r="J82" i="25"/>
  <c r="V82" i="25" s="1"/>
  <c r="A16" i="22"/>
  <c r="B82" i="25" s="1"/>
  <c r="A15" i="22"/>
  <c r="B81" i="25" s="1"/>
  <c r="C13" i="22"/>
  <c r="I79" i="25" s="1"/>
  <c r="A14" i="22"/>
  <c r="B80" i="25" s="1"/>
  <c r="A12" i="22"/>
  <c r="B78" i="25" s="1"/>
  <c r="A13" i="22"/>
  <c r="B79" i="25" s="1"/>
  <c r="A11" i="22"/>
  <c r="B77" i="25" s="1"/>
  <c r="A10" i="22"/>
  <c r="B76" i="25" s="1"/>
  <c r="M87" i="10"/>
  <c r="AB87" i="10" s="1"/>
  <c r="N87" i="10"/>
  <c r="AC87" i="10" s="1"/>
  <c r="O87" i="10"/>
  <c r="AD87" i="10" s="1"/>
  <c r="P87" i="10"/>
  <c r="AE87" i="10" s="1"/>
  <c r="M88" i="10"/>
  <c r="AB88" i="10" s="1"/>
  <c r="N88" i="10"/>
  <c r="AC88" i="10" s="1"/>
  <c r="O88" i="10"/>
  <c r="AD88" i="10" s="1"/>
  <c r="P88" i="10"/>
  <c r="AE88" i="10" s="1"/>
  <c r="M89" i="10"/>
  <c r="AB89" i="10" s="1"/>
  <c r="N89" i="10"/>
  <c r="AC89" i="10" s="1"/>
  <c r="O89" i="10"/>
  <c r="AD89" i="10" s="1"/>
  <c r="P89" i="10"/>
  <c r="AE89" i="10" s="1"/>
  <c r="M90" i="10"/>
  <c r="AB90" i="10" s="1"/>
  <c r="N90" i="10"/>
  <c r="AC90" i="10" s="1"/>
  <c r="O90" i="10"/>
  <c r="AD90" i="10" s="1"/>
  <c r="P90" i="10"/>
  <c r="AE90" i="10" s="1"/>
  <c r="M91" i="10"/>
  <c r="AB91" i="10" s="1"/>
  <c r="N91" i="10"/>
  <c r="AC91" i="10" s="1"/>
  <c r="O91" i="10"/>
  <c r="AD91" i="10" s="1"/>
  <c r="P91" i="10"/>
  <c r="AE91" i="10" s="1"/>
  <c r="M92" i="10"/>
  <c r="AB92" i="10" s="1"/>
  <c r="N92" i="10"/>
  <c r="AC92" i="10" s="1"/>
  <c r="O92" i="10"/>
  <c r="AD92" i="10" s="1"/>
  <c r="P92" i="10"/>
  <c r="AE92" i="10" s="1"/>
  <c r="N86" i="10"/>
  <c r="O86" i="10"/>
  <c r="AD86" i="10" s="1"/>
  <c r="P86" i="10"/>
  <c r="M86" i="10"/>
  <c r="L86" i="10" s="1"/>
  <c r="L92" i="10"/>
  <c r="L88" i="10"/>
  <c r="L89" i="10"/>
  <c r="A92" i="10"/>
  <c r="A91" i="10"/>
  <c r="A90" i="10"/>
  <c r="A89" i="10"/>
  <c r="A88" i="10"/>
  <c r="A87" i="10"/>
  <c r="A86" i="10"/>
  <c r="E93" i="10"/>
  <c r="W94" i="10"/>
  <c r="X94" i="10"/>
  <c r="E30" i="10"/>
  <c r="E34" i="10" s="1"/>
  <c r="E23" i="10"/>
  <c r="E31" i="10" s="1"/>
  <c r="E35" i="10" s="1"/>
  <c r="E21" i="10"/>
  <c r="F20" i="3"/>
  <c r="F17" i="3"/>
  <c r="C16" i="22" s="1"/>
  <c r="F16" i="3"/>
  <c r="C15" i="22" s="1"/>
  <c r="F15" i="3"/>
  <c r="C14" i="22" s="1"/>
  <c r="F13" i="3"/>
  <c r="C12" i="22" s="1"/>
  <c r="F12" i="3"/>
  <c r="F11" i="3"/>
  <c r="C10" i="22" s="1"/>
  <c r="J10" i="3"/>
  <c r="I10" i="3"/>
  <c r="H10" i="3"/>
  <c r="G10" i="3"/>
  <c r="I8" i="3"/>
  <c r="H8" i="3"/>
  <c r="G8" i="3"/>
  <c r="J76" i="18"/>
  <c r="I76" i="18"/>
  <c r="H76" i="18"/>
  <c r="G76" i="18"/>
  <c r="F76" i="18"/>
  <c r="G75" i="18"/>
  <c r="G72" i="18" s="1"/>
  <c r="F75" i="18"/>
  <c r="H73" i="18"/>
  <c r="F72" i="18"/>
  <c r="F53" i="18"/>
  <c r="J47" i="18"/>
  <c r="J71" i="18" s="1"/>
  <c r="I47" i="18"/>
  <c r="I71" i="18" s="1"/>
  <c r="H47" i="18"/>
  <c r="H71" i="18" s="1"/>
  <c r="F71" i="18" s="1"/>
  <c r="G47" i="18"/>
  <c r="J28" i="18"/>
  <c r="I28" i="18"/>
  <c r="H28" i="18"/>
  <c r="H20" i="18" s="1"/>
  <c r="G28" i="18"/>
  <c r="F28" i="18"/>
  <c r="J27" i="18"/>
  <c r="I27" i="18"/>
  <c r="H27" i="18"/>
  <c r="G27" i="18"/>
  <c r="F27" i="18"/>
  <c r="C26" i="24" s="1"/>
  <c r="J25" i="18"/>
  <c r="I25" i="18"/>
  <c r="H25" i="18"/>
  <c r="G25" i="18"/>
  <c r="F25" i="18"/>
  <c r="J23" i="18"/>
  <c r="I23" i="18"/>
  <c r="H23" i="18"/>
  <c r="G23" i="18"/>
  <c r="F23" i="18"/>
  <c r="J22" i="18"/>
  <c r="I22" i="18"/>
  <c r="H22" i="18"/>
  <c r="G22" i="18"/>
  <c r="F22" i="18"/>
  <c r="J19" i="18"/>
  <c r="J18" i="18" s="1"/>
  <c r="J17" i="18" s="1"/>
  <c r="I19" i="18"/>
  <c r="I18" i="18" s="1"/>
  <c r="I17" i="18" s="1"/>
  <c r="H19" i="18"/>
  <c r="H18" i="18" s="1"/>
  <c r="H17" i="18" s="1"/>
  <c r="G19" i="18"/>
  <c r="G18" i="18" s="1"/>
  <c r="G17" i="18" s="1"/>
  <c r="F19" i="18"/>
  <c r="F18" i="18" s="1"/>
  <c r="F17" i="18" s="1"/>
  <c r="J8" i="18"/>
  <c r="I8" i="18"/>
  <c r="H8" i="18"/>
  <c r="G8" i="18"/>
  <c r="F8" i="18"/>
  <c r="J38" i="19"/>
  <c r="I38" i="19"/>
  <c r="H38" i="19"/>
  <c r="G38" i="19"/>
  <c r="F38" i="19"/>
  <c r="C37" i="23" s="1"/>
  <c r="F37" i="19"/>
  <c r="J36" i="19"/>
  <c r="I36" i="19"/>
  <c r="H36" i="19"/>
  <c r="G36" i="19"/>
  <c r="J35" i="19"/>
  <c r="I35" i="19"/>
  <c r="H35" i="19"/>
  <c r="G35" i="19"/>
  <c r="F35" i="19"/>
  <c r="J34" i="19"/>
  <c r="I34" i="19"/>
  <c r="H34" i="19"/>
  <c r="G34" i="19"/>
  <c r="F34" i="19"/>
  <c r="J33" i="19"/>
  <c r="I33" i="19"/>
  <c r="I31" i="19" s="1"/>
  <c r="H33" i="19"/>
  <c r="G33" i="19"/>
  <c r="G31" i="19" s="1"/>
  <c r="G22" i="19" s="1"/>
  <c r="F33" i="19"/>
  <c r="H32" i="19"/>
  <c r="F32" i="19" s="1"/>
  <c r="J26" i="19"/>
  <c r="I26" i="19"/>
  <c r="H26" i="19"/>
  <c r="H20" i="19"/>
  <c r="F20" i="19" s="1"/>
  <c r="J19" i="19"/>
  <c r="I19" i="19"/>
  <c r="H19" i="19"/>
  <c r="G19" i="19"/>
  <c r="F19" i="19"/>
  <c r="J18" i="19"/>
  <c r="I18" i="19"/>
  <c r="H18" i="19"/>
  <c r="G18" i="19"/>
  <c r="F16" i="19"/>
  <c r="J8" i="19"/>
  <c r="I8" i="19"/>
  <c r="H8" i="19"/>
  <c r="F109" i="2"/>
  <c r="C107" i="21" s="1"/>
  <c r="F108" i="2"/>
  <c r="J107" i="2"/>
  <c r="H107" i="2"/>
  <c r="F107" i="2" s="1"/>
  <c r="J106" i="2"/>
  <c r="I106" i="2"/>
  <c r="H106" i="2"/>
  <c r="G106" i="2"/>
  <c r="F106" i="2" s="1"/>
  <c r="F105" i="2"/>
  <c r="G104" i="2"/>
  <c r="G103" i="2" s="1"/>
  <c r="J103" i="2"/>
  <c r="J110" i="2" s="1"/>
  <c r="I103" i="2"/>
  <c r="I110" i="2" s="1"/>
  <c r="H103" i="2"/>
  <c r="H110" i="2" s="1"/>
  <c r="F87" i="2"/>
  <c r="F86" i="2"/>
  <c r="F85" i="2"/>
  <c r="J84" i="2"/>
  <c r="I84" i="2"/>
  <c r="I79" i="2" s="1"/>
  <c r="H84" i="2"/>
  <c r="G84" i="2"/>
  <c r="F84" i="2" s="1"/>
  <c r="F79" i="2" s="1"/>
  <c r="J79" i="2"/>
  <c r="H79" i="2"/>
  <c r="F78" i="2"/>
  <c r="F77" i="2"/>
  <c r="F76" i="2"/>
  <c r="F75" i="2"/>
  <c r="F74" i="2"/>
  <c r="F73" i="2"/>
  <c r="F72" i="2"/>
  <c r="F71" i="2"/>
  <c r="F70" i="2"/>
  <c r="J69" i="2"/>
  <c r="I69" i="2"/>
  <c r="H69" i="2"/>
  <c r="G69" i="2"/>
  <c r="F69" i="2"/>
  <c r="F67" i="2"/>
  <c r="F66" i="2"/>
  <c r="F65" i="2"/>
  <c r="J62" i="2"/>
  <c r="I62" i="2"/>
  <c r="H62" i="2"/>
  <c r="G62" i="2"/>
  <c r="F62" i="2"/>
  <c r="F61" i="2"/>
  <c r="F60" i="2"/>
  <c r="F59" i="2"/>
  <c r="F57" i="2"/>
  <c r="F56" i="2"/>
  <c r="F55" i="2"/>
  <c r="J53" i="2"/>
  <c r="I53" i="2"/>
  <c r="H53" i="2"/>
  <c r="G53" i="2"/>
  <c r="F53" i="2"/>
  <c r="F52" i="2"/>
  <c r="F51" i="2" s="1"/>
  <c r="F43" i="2"/>
  <c r="F41" i="2"/>
  <c r="I40" i="2"/>
  <c r="F40" i="2" s="1"/>
  <c r="F39" i="2"/>
  <c r="F38" i="2"/>
  <c r="F32" i="2"/>
  <c r="J31" i="2"/>
  <c r="I31" i="2"/>
  <c r="H31" i="2"/>
  <c r="G31" i="2"/>
  <c r="F28" i="2"/>
  <c r="F27" i="2"/>
  <c r="F26" i="2"/>
  <c r="F25" i="2"/>
  <c r="F24" i="2"/>
  <c r="F23" i="2"/>
  <c r="F22" i="2" s="1"/>
  <c r="J22" i="2"/>
  <c r="I22" i="2"/>
  <c r="H22" i="2"/>
  <c r="G22" i="2"/>
  <c r="F21" i="2"/>
  <c r="F20" i="2"/>
  <c r="F18" i="2"/>
  <c r="F19" i="2" s="1"/>
  <c r="F17" i="2"/>
  <c r="F16" i="2"/>
  <c r="F15" i="2"/>
  <c r="F104" i="2" s="1"/>
  <c r="F103" i="2" s="1"/>
  <c r="F110" i="2" s="1"/>
  <c r="J14" i="2"/>
  <c r="I14" i="2"/>
  <c r="H14" i="2"/>
  <c r="H101" i="2" s="1"/>
  <c r="G14" i="2"/>
  <c r="F11" i="2"/>
  <c r="C11" i="21" s="1"/>
  <c r="F10" i="2"/>
  <c r="F8" i="2"/>
  <c r="J7" i="2"/>
  <c r="J13" i="2" s="1"/>
  <c r="J100" i="2" s="1"/>
  <c r="I7" i="2"/>
  <c r="I13" i="2" s="1"/>
  <c r="I100" i="2" s="1"/>
  <c r="H7" i="2"/>
  <c r="H13" i="2" s="1"/>
  <c r="H100" i="2" s="1"/>
  <c r="G7" i="2"/>
  <c r="G13" i="2" s="1"/>
  <c r="G100" i="2" s="1"/>
  <c r="F7" i="2"/>
  <c r="F13" i="2" s="1"/>
  <c r="F100" i="2" s="1"/>
  <c r="R75" i="25"/>
  <c r="N75" i="25"/>
  <c r="F18" i="19" l="1"/>
  <c r="F47" i="18"/>
  <c r="F10" i="3"/>
  <c r="F8" i="3" s="1"/>
  <c r="L91" i="10"/>
  <c r="P93" i="10"/>
  <c r="N93" i="10"/>
  <c r="F26" i="19"/>
  <c r="G20" i="18"/>
  <c r="I20" i="18"/>
  <c r="F20" i="18"/>
  <c r="J20" i="18"/>
  <c r="F31" i="2"/>
  <c r="I22" i="19"/>
  <c r="H75" i="18"/>
  <c r="E24" i="10"/>
  <c r="E28" i="10" s="1"/>
  <c r="E32" i="10" s="1"/>
  <c r="E36" i="10" s="1"/>
  <c r="J84" i="25"/>
  <c r="E14" i="22"/>
  <c r="I80" i="25"/>
  <c r="E16" i="22"/>
  <c r="I82" i="25"/>
  <c r="F16" i="22"/>
  <c r="AA92" i="10"/>
  <c r="AA91" i="10"/>
  <c r="AA90" i="10"/>
  <c r="AA89" i="10"/>
  <c r="AA88" i="10"/>
  <c r="AA87" i="10"/>
  <c r="I76" i="25"/>
  <c r="E10" i="22"/>
  <c r="F10" i="22"/>
  <c r="F12" i="22"/>
  <c r="I78" i="25"/>
  <c r="E12" i="22"/>
  <c r="I81" i="25"/>
  <c r="U81" i="25" s="1"/>
  <c r="X81" i="25" s="1"/>
  <c r="F15" i="22"/>
  <c r="E15" i="22"/>
  <c r="AD93" i="10"/>
  <c r="W81" i="25"/>
  <c r="L79" i="25"/>
  <c r="G110" i="2"/>
  <c r="H31" i="19"/>
  <c r="H22" i="19" s="1"/>
  <c r="H39" i="19" s="1"/>
  <c r="J31" i="19"/>
  <c r="J22" i="19" s="1"/>
  <c r="J39" i="19" s="1"/>
  <c r="O93" i="10"/>
  <c r="M93" i="10"/>
  <c r="AE86" i="10"/>
  <c r="AE93" i="10" s="1"/>
  <c r="AC86" i="10"/>
  <c r="AC93" i="10" s="1"/>
  <c r="F13" i="22"/>
  <c r="K79" i="25"/>
  <c r="AB86" i="10"/>
  <c r="E13" i="22"/>
  <c r="J75" i="25"/>
  <c r="G39" i="19"/>
  <c r="I39" i="19"/>
  <c r="F36" i="19"/>
  <c r="F31" i="19" s="1"/>
  <c r="F22" i="19" s="1"/>
  <c r="F39" i="19" s="1"/>
  <c r="E25" i="10"/>
  <c r="E27" i="10"/>
  <c r="I73" i="18"/>
  <c r="H72" i="18"/>
  <c r="G79" i="2"/>
  <c r="F14" i="2"/>
  <c r="V78" i="25"/>
  <c r="V79" i="25"/>
  <c r="V77" i="25"/>
  <c r="B26" i="25"/>
  <c r="C22" i="22"/>
  <c r="C21" i="22"/>
  <c r="C20" i="22"/>
  <c r="C18" i="22"/>
  <c r="C17" i="22"/>
  <c r="U79" i="25"/>
  <c r="C8" i="22"/>
  <c r="C73" i="24"/>
  <c r="C72" i="24"/>
  <c r="C62" i="24"/>
  <c r="C63" i="24"/>
  <c r="C64" i="24"/>
  <c r="C65" i="24"/>
  <c r="C66" i="24"/>
  <c r="C67" i="24"/>
  <c r="C68" i="24"/>
  <c r="C69" i="24"/>
  <c r="C70" i="24"/>
  <c r="C61" i="24"/>
  <c r="C59" i="24"/>
  <c r="C60" i="24"/>
  <c r="C58" i="24"/>
  <c r="C53" i="24"/>
  <c r="C54" i="24"/>
  <c r="C55" i="24"/>
  <c r="C56" i="24"/>
  <c r="C57" i="24"/>
  <c r="C49" i="24"/>
  <c r="C50" i="24"/>
  <c r="C51" i="24"/>
  <c r="C52" i="24"/>
  <c r="C48" i="24"/>
  <c r="C47" i="24"/>
  <c r="C44" i="24"/>
  <c r="C43" i="24"/>
  <c r="C38" i="24"/>
  <c r="C39" i="24"/>
  <c r="C40" i="24"/>
  <c r="C41" i="24"/>
  <c r="C42" i="24"/>
  <c r="C31" i="24"/>
  <c r="C32" i="24"/>
  <c r="C33" i="24"/>
  <c r="C34" i="24"/>
  <c r="C35" i="24"/>
  <c r="C36" i="24"/>
  <c r="C37" i="24"/>
  <c r="C30" i="24"/>
  <c r="C25" i="24"/>
  <c r="C15" i="24"/>
  <c r="C14" i="24"/>
  <c r="C13" i="24"/>
  <c r="C10" i="24"/>
  <c r="C11" i="24"/>
  <c r="C12" i="24"/>
  <c r="C9" i="24"/>
  <c r="C32" i="23"/>
  <c r="C21" i="23"/>
  <c r="C16" i="23"/>
  <c r="C8" i="23"/>
  <c r="C86" i="21"/>
  <c r="C87" i="21"/>
  <c r="C85" i="21"/>
  <c r="C71" i="21"/>
  <c r="C72" i="21"/>
  <c r="C73" i="21"/>
  <c r="C74" i="21"/>
  <c r="C75" i="21"/>
  <c r="C76" i="21"/>
  <c r="C77" i="21"/>
  <c r="F77" i="21" s="1"/>
  <c r="C78" i="21"/>
  <c r="F78" i="21" s="1"/>
  <c r="C70" i="21"/>
  <c r="C66" i="21"/>
  <c r="C67" i="21"/>
  <c r="C68" i="21"/>
  <c r="C63" i="21"/>
  <c r="C64" i="21"/>
  <c r="C65" i="21"/>
  <c r="C55" i="21"/>
  <c r="C56" i="21"/>
  <c r="C57" i="21"/>
  <c r="C58" i="21"/>
  <c r="C59" i="21"/>
  <c r="C60" i="21"/>
  <c r="C61" i="21"/>
  <c r="C54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32" i="21"/>
  <c r="C26" i="21"/>
  <c r="F26" i="21" s="1"/>
  <c r="C27" i="21"/>
  <c r="C28" i="21"/>
  <c r="C25" i="21"/>
  <c r="C23" i="21"/>
  <c r="C24" i="21"/>
  <c r="C21" i="21"/>
  <c r="C16" i="21"/>
  <c r="C17" i="21"/>
  <c r="F17" i="21" s="1"/>
  <c r="C18" i="21"/>
  <c r="C19" i="21"/>
  <c r="C20" i="21"/>
  <c r="C15" i="21"/>
  <c r="C12" i="21"/>
  <c r="C8" i="21"/>
  <c r="C9" i="21"/>
  <c r="C10" i="21"/>
  <c r="D84" i="21"/>
  <c r="E20" i="21" l="1"/>
  <c r="F20" i="21"/>
  <c r="F67" i="21"/>
  <c r="E67" i="21"/>
  <c r="F87" i="21"/>
  <c r="E87" i="21"/>
  <c r="L81" i="25"/>
  <c r="K81" i="25"/>
  <c r="L78" i="25"/>
  <c r="K78" i="25"/>
  <c r="AB93" i="10"/>
  <c r="AA86" i="10"/>
  <c r="L82" i="25"/>
  <c r="K82" i="25"/>
  <c r="U82" i="25"/>
  <c r="U80" i="25"/>
  <c r="K80" i="25"/>
  <c r="I75" i="18"/>
  <c r="J73" i="18" s="1"/>
  <c r="X79" i="25"/>
  <c r="W79" i="25"/>
  <c r="F75" i="25"/>
  <c r="E75" i="25"/>
  <c r="V76" i="25"/>
  <c r="V75" i="25" s="1"/>
  <c r="V84" i="25" s="1"/>
  <c r="Q77" i="25"/>
  <c r="Q76" i="25"/>
  <c r="M77" i="25"/>
  <c r="M76" i="25"/>
  <c r="W82" i="25" l="1"/>
  <c r="X82" i="25"/>
  <c r="I72" i="18"/>
  <c r="W80" i="25"/>
  <c r="H75" i="25"/>
  <c r="Q75" i="25"/>
  <c r="M75" i="25"/>
  <c r="J75" i="18"/>
  <c r="J72" i="18" s="1"/>
  <c r="O76" i="25"/>
  <c r="O77" i="25"/>
  <c r="G75" i="25"/>
  <c r="S77" i="25"/>
  <c r="S76" i="25"/>
  <c r="C22" i="25"/>
  <c r="C23" i="25"/>
  <c r="C27" i="25" s="1"/>
  <c r="C17" i="25"/>
  <c r="B30" i="25"/>
  <c r="B12" i="25"/>
  <c r="B13" i="25"/>
  <c r="D13" i="25" s="1"/>
  <c r="B14" i="25"/>
  <c r="B15" i="25"/>
  <c r="D15" i="25" s="1"/>
  <c r="B11" i="25"/>
  <c r="O84" i="25"/>
  <c r="B22" i="25"/>
  <c r="F18" i="25"/>
  <c r="D18" i="25"/>
  <c r="F15" i="25"/>
  <c r="F14" i="25"/>
  <c r="D14" i="25"/>
  <c r="F13" i="25"/>
  <c r="F12" i="25"/>
  <c r="D12" i="25"/>
  <c r="F11" i="25"/>
  <c r="D11" i="25"/>
  <c r="B10" i="25"/>
  <c r="F10" i="25" s="1"/>
  <c r="C16" i="26"/>
  <c r="C15" i="26"/>
  <c r="D19" i="22"/>
  <c r="E20" i="22"/>
  <c r="E21" i="22"/>
  <c r="E22" i="22"/>
  <c r="E18" i="22"/>
  <c r="E17" i="22"/>
  <c r="E8" i="22"/>
  <c r="F72" i="24"/>
  <c r="E72" i="24"/>
  <c r="D34" i="20"/>
  <c r="D36" i="20"/>
  <c r="D33" i="20"/>
  <c r="D31" i="20"/>
  <c r="D23" i="20"/>
  <c r="D24" i="20"/>
  <c r="D25" i="20"/>
  <c r="D26" i="20"/>
  <c r="C24" i="20"/>
  <c r="C25" i="20"/>
  <c r="C26" i="20"/>
  <c r="C23" i="20"/>
  <c r="D18" i="20"/>
  <c r="C18" i="20"/>
  <c r="B46" i="20"/>
  <c r="F44" i="20"/>
  <c r="E44" i="20"/>
  <c r="C40" i="20"/>
  <c r="F39" i="20"/>
  <c r="C39" i="20"/>
  <c r="B37" i="20"/>
  <c r="B36" i="20"/>
  <c r="B35" i="20"/>
  <c r="B34" i="20"/>
  <c r="B33" i="20"/>
  <c r="B32" i="20"/>
  <c r="B31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F21" i="23"/>
  <c r="F16" i="23"/>
  <c r="F32" i="23"/>
  <c r="E32" i="23"/>
  <c r="D31" i="23"/>
  <c r="D22" i="23" s="1"/>
  <c r="E16" i="23"/>
  <c r="F8" i="23"/>
  <c r="E8" i="23"/>
  <c r="D53" i="21"/>
  <c r="F92" i="21"/>
  <c r="E92" i="21"/>
  <c r="F91" i="21"/>
  <c r="E91" i="21"/>
  <c r="F83" i="21"/>
  <c r="E83" i="21"/>
  <c r="F82" i="21"/>
  <c r="E82" i="21"/>
  <c r="E68" i="21"/>
  <c r="F86" i="21"/>
  <c r="E77" i="21"/>
  <c r="E76" i="21"/>
  <c r="E75" i="21"/>
  <c r="E74" i="21"/>
  <c r="E73" i="21"/>
  <c r="E72" i="21"/>
  <c r="E71" i="21"/>
  <c r="E70" i="21"/>
  <c r="E65" i="21"/>
  <c r="E39" i="21"/>
  <c r="C20" i="25" l="1"/>
  <c r="C25" i="25"/>
  <c r="D31" i="21"/>
  <c r="D35" i="20"/>
  <c r="D23" i="24"/>
  <c r="D19" i="24" s="1"/>
  <c r="S75" i="25"/>
  <c r="O75" i="25"/>
  <c r="E18" i="20"/>
  <c r="F39" i="21"/>
  <c r="F65" i="21"/>
  <c r="F70" i="21"/>
  <c r="F71" i="21"/>
  <c r="F72" i="21"/>
  <c r="F73" i="21"/>
  <c r="F74" i="21"/>
  <c r="F75" i="21"/>
  <c r="F76" i="21"/>
  <c r="E78" i="21"/>
  <c r="E85" i="21"/>
  <c r="E86" i="21"/>
  <c r="E21" i="23"/>
  <c r="C34" i="20"/>
  <c r="E23" i="20"/>
  <c r="E24" i="20"/>
  <c r="E25" i="20"/>
  <c r="E26" i="20"/>
  <c r="E39" i="20"/>
  <c r="E41" i="20"/>
  <c r="E42" i="20"/>
  <c r="E43" i="20"/>
  <c r="F20" i="22"/>
  <c r="F21" i="22"/>
  <c r="F22" i="22"/>
  <c r="C19" i="22"/>
  <c r="E19" i="22" s="1"/>
  <c r="D7" i="22"/>
  <c r="D22" i="25"/>
  <c r="D26" i="25"/>
  <c r="D10" i="25"/>
  <c r="F22" i="25"/>
  <c r="C24" i="25"/>
  <c r="C28" i="25" s="1"/>
  <c r="F26" i="25"/>
  <c r="C30" i="25"/>
  <c r="E35" i="21"/>
  <c r="E37" i="21"/>
  <c r="E26" i="21"/>
  <c r="L106" i="21"/>
  <c r="K106" i="21"/>
  <c r="J106" i="21"/>
  <c r="L104" i="21"/>
  <c r="K104" i="21"/>
  <c r="J104" i="21"/>
  <c r="L103" i="21"/>
  <c r="K103" i="21"/>
  <c r="J103" i="21"/>
  <c r="L102" i="21"/>
  <c r="L101" i="21" s="1"/>
  <c r="K102" i="21"/>
  <c r="J102" i="21"/>
  <c r="J101" i="21" s="1"/>
  <c r="K101" i="21"/>
  <c r="L84" i="21"/>
  <c r="K84" i="21"/>
  <c r="K79" i="21" s="1"/>
  <c r="K107" i="21" s="1"/>
  <c r="J84" i="21"/>
  <c r="J79" i="21" s="1"/>
  <c r="J107" i="21" s="1"/>
  <c r="C84" i="21"/>
  <c r="C79" i="21" s="1"/>
  <c r="C21" i="20" s="1"/>
  <c r="L79" i="21"/>
  <c r="L107" i="21" s="1"/>
  <c r="L69" i="21"/>
  <c r="K69" i="21"/>
  <c r="J69" i="21"/>
  <c r="D69" i="21"/>
  <c r="H101" i="21" s="1"/>
  <c r="C69" i="21"/>
  <c r="L66" i="21"/>
  <c r="K66" i="21"/>
  <c r="J66" i="21"/>
  <c r="L53" i="21"/>
  <c r="K53" i="21"/>
  <c r="J53" i="21"/>
  <c r="C53" i="21"/>
  <c r="L40" i="21"/>
  <c r="L31" i="21" s="1"/>
  <c r="K40" i="21"/>
  <c r="J40" i="21"/>
  <c r="J31" i="21" s="1"/>
  <c r="L22" i="21"/>
  <c r="K22" i="21"/>
  <c r="J22" i="21"/>
  <c r="D16" i="20"/>
  <c r="L19" i="21"/>
  <c r="L105" i="21" s="1"/>
  <c r="K19" i="21"/>
  <c r="J19" i="21"/>
  <c r="J105" i="21" s="1"/>
  <c r="L7" i="21"/>
  <c r="L13" i="21" s="1"/>
  <c r="K7" i="21"/>
  <c r="K13" i="21" s="1"/>
  <c r="J7" i="21"/>
  <c r="J13" i="21" s="1"/>
  <c r="D7" i="21"/>
  <c r="J62" i="21" l="1"/>
  <c r="L62" i="21"/>
  <c r="L14" i="21"/>
  <c r="L29" i="21" s="1"/>
  <c r="L88" i="21" s="1"/>
  <c r="L93" i="21" s="1"/>
  <c r="K105" i="21"/>
  <c r="D46" i="20"/>
  <c r="E15" i="26"/>
  <c r="K62" i="21"/>
  <c r="K14" i="21"/>
  <c r="E34" i="20"/>
  <c r="E28" i="21"/>
  <c r="F28" i="21"/>
  <c r="F24" i="21"/>
  <c r="E24" i="21"/>
  <c r="F21" i="21"/>
  <c r="E21" i="21"/>
  <c r="E17" i="21"/>
  <c r="F15" i="21"/>
  <c r="E15" i="21"/>
  <c r="F11" i="21"/>
  <c r="E11" i="21"/>
  <c r="E36" i="21"/>
  <c r="E38" i="21"/>
  <c r="F38" i="21"/>
  <c r="E41" i="21"/>
  <c r="F41" i="21"/>
  <c r="E56" i="21"/>
  <c r="F56" i="21"/>
  <c r="E58" i="21"/>
  <c r="E60" i="21"/>
  <c r="F60" i="21"/>
  <c r="K31" i="21"/>
  <c r="E27" i="21"/>
  <c r="F27" i="21"/>
  <c r="F25" i="21"/>
  <c r="E25" i="21"/>
  <c r="F23" i="21"/>
  <c r="E23" i="21"/>
  <c r="F18" i="21"/>
  <c r="E18" i="21"/>
  <c r="F16" i="21"/>
  <c r="E16" i="21"/>
  <c r="F10" i="21"/>
  <c r="E10" i="21"/>
  <c r="F8" i="21"/>
  <c r="E8" i="21"/>
  <c r="E43" i="21"/>
  <c r="F43" i="21"/>
  <c r="E51" i="21"/>
  <c r="E52" i="21"/>
  <c r="E55" i="21"/>
  <c r="F55" i="21"/>
  <c r="E57" i="21"/>
  <c r="F57" i="21"/>
  <c r="E59" i="21"/>
  <c r="F59" i="21"/>
  <c r="E61" i="21"/>
  <c r="F61" i="21"/>
  <c r="D30" i="25"/>
  <c r="F30" i="25"/>
  <c r="C31" i="25"/>
  <c r="C29" i="25"/>
  <c r="D79" i="21"/>
  <c r="E84" i="21"/>
  <c r="F84" i="21"/>
  <c r="F69" i="21"/>
  <c r="E69" i="21"/>
  <c r="D62" i="21"/>
  <c r="E53" i="21"/>
  <c r="F53" i="21"/>
  <c r="D19" i="20"/>
  <c r="D13" i="21"/>
  <c r="C22" i="21"/>
  <c r="F22" i="21" s="1"/>
  <c r="C7" i="21"/>
  <c r="C13" i="21" s="1"/>
  <c r="J14" i="21"/>
  <c r="D29" i="21"/>
  <c r="K98" i="21"/>
  <c r="K29" i="21"/>
  <c r="K88" i="21" s="1"/>
  <c r="K93" i="21" s="1"/>
  <c r="K108" i="21"/>
  <c r="C98" i="21"/>
  <c r="J29" i="21"/>
  <c r="J98" i="21"/>
  <c r="L98" i="21"/>
  <c r="J108" i="21"/>
  <c r="L108" i="21"/>
  <c r="D7" i="2"/>
  <c r="I40" i="14"/>
  <c r="H40" i="14"/>
  <c r="E72" i="18"/>
  <c r="E25" i="18"/>
  <c r="E23" i="18"/>
  <c r="E38" i="19"/>
  <c r="E35" i="19"/>
  <c r="E34" i="19"/>
  <c r="E33" i="19"/>
  <c r="E20" i="19"/>
  <c r="E104" i="2"/>
  <c r="E22" i="18"/>
  <c r="E19" i="2"/>
  <c r="E66" i="2"/>
  <c r="E40" i="2"/>
  <c r="D34" i="10"/>
  <c r="D29" i="10"/>
  <c r="D33" i="10" s="1"/>
  <c r="D31" i="10"/>
  <c r="D35" i="10" s="1"/>
  <c r="D28" i="10"/>
  <c r="D32" i="10" s="1"/>
  <c r="D36" i="10" s="1"/>
  <c r="L87" i="10"/>
  <c r="L90" i="10"/>
  <c r="E14" i="10"/>
  <c r="E29" i="10" s="1"/>
  <c r="E33" i="10" s="1"/>
  <c r="G25" i="14"/>
  <c r="G40" i="14"/>
  <c r="C11" i="22"/>
  <c r="C9" i="22" s="1"/>
  <c r="D22" i="18"/>
  <c r="I14" i="10"/>
  <c r="G15" i="10"/>
  <c r="I16" i="10"/>
  <c r="G19" i="10"/>
  <c r="I19" i="10"/>
  <c r="B21" i="10"/>
  <c r="C21" i="10"/>
  <c r="C25" i="10" s="1"/>
  <c r="G22" i="10"/>
  <c r="I22" i="10"/>
  <c r="B25" i="10"/>
  <c r="C26" i="10"/>
  <c r="G26" i="10"/>
  <c r="C27" i="10"/>
  <c r="C28" i="10"/>
  <c r="C34" i="10"/>
  <c r="C35" i="10"/>
  <c r="C36" i="10"/>
  <c r="C8" i="3"/>
  <c r="E10" i="3"/>
  <c r="E8" i="3" s="1"/>
  <c r="E40" i="14" s="1"/>
  <c r="D23" i="18"/>
  <c r="D25" i="18"/>
  <c r="D27" i="18"/>
  <c r="D72" i="18"/>
  <c r="C31" i="19"/>
  <c r="C22" i="19" s="1"/>
  <c r="D31" i="19"/>
  <c r="D22" i="19" s="1"/>
  <c r="C7" i="2"/>
  <c r="C13" i="2" s="1"/>
  <c r="E7" i="2"/>
  <c r="E13" i="2" s="1"/>
  <c r="E19" i="18" s="1"/>
  <c r="E18" i="18" s="1"/>
  <c r="D13" i="2"/>
  <c r="C22" i="2"/>
  <c r="D22" i="2"/>
  <c r="D14" i="2"/>
  <c r="E22" i="2"/>
  <c r="E14" i="2"/>
  <c r="E10" i="14" s="1"/>
  <c r="B19" i="25"/>
  <c r="C53" i="2"/>
  <c r="C31" i="2" s="1"/>
  <c r="D53" i="2"/>
  <c r="D31" i="2" s="1"/>
  <c r="E53" i="2"/>
  <c r="E31" i="2" s="1"/>
  <c r="E13" i="14" s="1"/>
  <c r="G13" i="14"/>
  <c r="H13" i="14"/>
  <c r="J13" i="14"/>
  <c r="C62" i="2"/>
  <c r="C14" i="14" s="1"/>
  <c r="D69" i="2"/>
  <c r="D62" i="2" s="1"/>
  <c r="D14" i="14" s="1"/>
  <c r="E69" i="2"/>
  <c r="E62" i="2" s="1"/>
  <c r="E14" i="14" s="1"/>
  <c r="H14" i="14"/>
  <c r="J14" i="14"/>
  <c r="C84" i="2"/>
  <c r="C79" i="2" s="1"/>
  <c r="C15" i="14" s="1"/>
  <c r="D84" i="2"/>
  <c r="D79" i="2" s="1"/>
  <c r="D15" i="14" s="1"/>
  <c r="E84" i="2"/>
  <c r="E79" i="2" s="1"/>
  <c r="H15" i="14"/>
  <c r="I15" i="14"/>
  <c r="J15" i="14"/>
  <c r="C35" i="23"/>
  <c r="C33" i="23"/>
  <c r="C34" i="23"/>
  <c r="C103" i="2"/>
  <c r="C110" i="2" s="1"/>
  <c r="D103" i="2"/>
  <c r="D110" i="2" s="1"/>
  <c r="E103" i="2"/>
  <c r="B9" i="14"/>
  <c r="J9" i="14"/>
  <c r="B10" i="14"/>
  <c r="C10" i="14"/>
  <c r="B11" i="14"/>
  <c r="B12" i="14"/>
  <c r="C12" i="14"/>
  <c r="D12" i="14"/>
  <c r="F12" i="14"/>
  <c r="G12" i="14"/>
  <c r="H12" i="14"/>
  <c r="I12" i="14"/>
  <c r="J12" i="14"/>
  <c r="B13" i="14"/>
  <c r="B14" i="14"/>
  <c r="B15" i="14"/>
  <c r="B16" i="14"/>
  <c r="B17" i="14"/>
  <c r="C17" i="14"/>
  <c r="D17" i="14"/>
  <c r="F17" i="14"/>
  <c r="G17" i="14"/>
  <c r="H17" i="14"/>
  <c r="I17" i="14"/>
  <c r="J17" i="14"/>
  <c r="B18" i="14"/>
  <c r="C18" i="14"/>
  <c r="D18" i="14"/>
  <c r="F18" i="14"/>
  <c r="G18" i="14"/>
  <c r="H18" i="14"/>
  <c r="I18" i="14"/>
  <c r="J18" i="14"/>
  <c r="B19" i="14"/>
  <c r="C19" i="14"/>
  <c r="D19" i="14"/>
  <c r="F19" i="14"/>
  <c r="G19" i="14"/>
  <c r="H19" i="14"/>
  <c r="I19" i="14"/>
  <c r="J19" i="14"/>
  <c r="B20" i="14"/>
  <c r="C20" i="14"/>
  <c r="D20" i="14"/>
  <c r="F20" i="14"/>
  <c r="G20" i="14"/>
  <c r="H20" i="14"/>
  <c r="I20" i="14"/>
  <c r="J20" i="14"/>
  <c r="B21" i="14"/>
  <c r="B22" i="14"/>
  <c r="C22" i="14"/>
  <c r="D22" i="14"/>
  <c r="B23" i="14"/>
  <c r="B25" i="14"/>
  <c r="C25" i="14"/>
  <c r="D25" i="14"/>
  <c r="B26" i="14"/>
  <c r="C26" i="14"/>
  <c r="D26" i="14"/>
  <c r="B27" i="14"/>
  <c r="C27" i="14"/>
  <c r="D27" i="14"/>
  <c r="E27" i="14"/>
  <c r="G27" i="14"/>
  <c r="H27" i="14"/>
  <c r="I27" i="14"/>
  <c r="J27" i="14"/>
  <c r="B28" i="14"/>
  <c r="C28" i="14"/>
  <c r="D28" i="14"/>
  <c r="F28" i="14"/>
  <c r="G28" i="14"/>
  <c r="H28" i="14"/>
  <c r="I28" i="14"/>
  <c r="J28" i="14"/>
  <c r="B29" i="14"/>
  <c r="B30" i="14"/>
  <c r="C30" i="14"/>
  <c r="D30" i="14"/>
  <c r="E30" i="14"/>
  <c r="B31" i="14"/>
  <c r="B33" i="14"/>
  <c r="C33" i="14"/>
  <c r="D33" i="14"/>
  <c r="E33" i="14"/>
  <c r="F33" i="14"/>
  <c r="G33" i="14"/>
  <c r="H33" i="14"/>
  <c r="I33" i="14"/>
  <c r="J33" i="14"/>
  <c r="B34" i="14"/>
  <c r="C34" i="14"/>
  <c r="B35" i="14"/>
  <c r="C35" i="14"/>
  <c r="D35" i="14"/>
  <c r="F35" i="14"/>
  <c r="G35" i="14"/>
  <c r="H35" i="14"/>
  <c r="I35" i="14"/>
  <c r="J35" i="14"/>
  <c r="B36" i="14"/>
  <c r="C36" i="14"/>
  <c r="D36" i="14"/>
  <c r="F36" i="14"/>
  <c r="G36" i="14"/>
  <c r="H36" i="14"/>
  <c r="I36" i="14"/>
  <c r="J36" i="14"/>
  <c r="B37" i="14"/>
  <c r="C37" i="14"/>
  <c r="D37" i="14"/>
  <c r="F37" i="14"/>
  <c r="G37" i="14"/>
  <c r="H37" i="14"/>
  <c r="I37" i="14"/>
  <c r="J37" i="14"/>
  <c r="B38" i="14"/>
  <c r="C38" i="14"/>
  <c r="D38" i="14"/>
  <c r="E38" i="14"/>
  <c r="B40" i="14"/>
  <c r="C40" i="14"/>
  <c r="D10" i="14"/>
  <c r="D19" i="18"/>
  <c r="C45" i="10"/>
  <c r="I30" i="10"/>
  <c r="I26" i="10"/>
  <c r="D8" i="3"/>
  <c r="D40" i="14" s="1"/>
  <c r="F14" i="14"/>
  <c r="F15" i="14"/>
  <c r="J10" i="14"/>
  <c r="J38" i="14"/>
  <c r="E16" i="14"/>
  <c r="E21" i="14"/>
  <c r="E96" i="2"/>
  <c r="E31" i="14"/>
  <c r="J30" i="14"/>
  <c r="I13" i="14"/>
  <c r="G14" i="14"/>
  <c r="D13" i="14"/>
  <c r="G9" i="14"/>
  <c r="D43" i="10"/>
  <c r="D45" i="10" s="1"/>
  <c r="C100" i="2"/>
  <c r="C13" i="14"/>
  <c r="F27" i="14"/>
  <c r="E29" i="2"/>
  <c r="E11" i="14" s="1"/>
  <c r="E9" i="14"/>
  <c r="E100" i="2"/>
  <c r="H30" i="14"/>
  <c r="J88" i="21" l="1"/>
  <c r="J93" i="21" s="1"/>
  <c r="G14" i="10"/>
  <c r="D16" i="26"/>
  <c r="D18" i="24"/>
  <c r="D17" i="24" s="1"/>
  <c r="D16" i="24" s="1"/>
  <c r="D98" i="21"/>
  <c r="F98" i="21" s="1"/>
  <c r="D20" i="20"/>
  <c r="E16" i="26"/>
  <c r="D107" i="21"/>
  <c r="D108" i="21" s="1"/>
  <c r="I109" i="21" s="1"/>
  <c r="F79" i="21"/>
  <c r="E79" i="21"/>
  <c r="I107" i="21"/>
  <c r="E15" i="14"/>
  <c r="E109" i="2"/>
  <c r="E110" i="2" s="1"/>
  <c r="E20" i="18" s="1"/>
  <c r="L93" i="10"/>
  <c r="I77" i="25"/>
  <c r="I75" i="25" s="1"/>
  <c r="AA93" i="10"/>
  <c r="H94" i="10" s="1"/>
  <c r="F40" i="14"/>
  <c r="C7" i="22"/>
  <c r="C46" i="20" s="1"/>
  <c r="E11" i="22"/>
  <c r="F11" i="22"/>
  <c r="F22" i="24"/>
  <c r="C36" i="23"/>
  <c r="C31" i="23" s="1"/>
  <c r="C105" i="21"/>
  <c r="C104" i="21"/>
  <c r="C20" i="23"/>
  <c r="U78" i="25"/>
  <c r="D18" i="18"/>
  <c r="D17" i="18" s="1"/>
  <c r="D28" i="18"/>
  <c r="E7" i="21"/>
  <c r="G23" i="10"/>
  <c r="I34" i="10"/>
  <c r="G34" i="10"/>
  <c r="C101" i="2"/>
  <c r="C106" i="21"/>
  <c r="C102" i="21"/>
  <c r="F102" i="21" s="1"/>
  <c r="F19" i="21"/>
  <c r="E19" i="21"/>
  <c r="G30" i="10"/>
  <c r="E66" i="21"/>
  <c r="F66" i="21"/>
  <c r="C62" i="21"/>
  <c r="C20" i="20" s="1"/>
  <c r="F20" i="20" s="1"/>
  <c r="B38" i="25"/>
  <c r="B40" i="25" s="1"/>
  <c r="C15" i="20"/>
  <c r="F7" i="21"/>
  <c r="D15" i="20"/>
  <c r="D38" i="25"/>
  <c r="E22" i="21"/>
  <c r="E20" i="20"/>
  <c r="I29" i="14"/>
  <c r="F21" i="24"/>
  <c r="E21" i="24"/>
  <c r="E35" i="23"/>
  <c r="E34" i="23"/>
  <c r="F34" i="23"/>
  <c r="E33" i="23"/>
  <c r="F33" i="23"/>
  <c r="E40" i="21"/>
  <c r="F40" i="21"/>
  <c r="B21" i="25"/>
  <c r="B17" i="25"/>
  <c r="B25" i="25" s="1"/>
  <c r="F104" i="21"/>
  <c r="E104" i="21"/>
  <c r="F106" i="21"/>
  <c r="E106" i="21"/>
  <c r="D88" i="21"/>
  <c r="E7" i="26"/>
  <c r="D17" i="20"/>
  <c r="C14" i="21"/>
  <c r="D21" i="20"/>
  <c r="E102" i="21"/>
  <c r="C32" i="25"/>
  <c r="F13" i="21"/>
  <c r="E13" i="21"/>
  <c r="E98" i="21" s="1"/>
  <c r="L94" i="21"/>
  <c r="L99" i="21" s="1"/>
  <c r="J94" i="21"/>
  <c r="J99" i="21" s="1"/>
  <c r="K94" i="21"/>
  <c r="K99" i="21" s="1"/>
  <c r="E31" i="19"/>
  <c r="E22" i="19" s="1"/>
  <c r="G29" i="14"/>
  <c r="J29" i="14"/>
  <c r="I31" i="10"/>
  <c r="G31" i="10"/>
  <c r="F9" i="14"/>
  <c r="L43" i="10"/>
  <c r="L45" i="10" s="1"/>
  <c r="E101" i="2"/>
  <c r="D34" i="14"/>
  <c r="E17" i="18"/>
  <c r="I43" i="10"/>
  <c r="I45" i="10" s="1"/>
  <c r="H9" i="14"/>
  <c r="I23" i="10"/>
  <c r="E22" i="14"/>
  <c r="E98" i="2"/>
  <c r="E19" i="19"/>
  <c r="J29" i="2"/>
  <c r="G15" i="14"/>
  <c r="I14" i="14"/>
  <c r="F13" i="14"/>
  <c r="D101" i="2"/>
  <c r="G43" i="10"/>
  <c r="G45" i="10" s="1"/>
  <c r="D100" i="2"/>
  <c r="D9" i="14"/>
  <c r="D29" i="2"/>
  <c r="I9" i="14"/>
  <c r="C9" i="14"/>
  <c r="C29" i="2"/>
  <c r="E24" i="18"/>
  <c r="E29" i="14"/>
  <c r="D39" i="19"/>
  <c r="D31" i="14" s="1"/>
  <c r="D24" i="18"/>
  <c r="D21" i="18" s="1"/>
  <c r="D29" i="14"/>
  <c r="H29" i="14"/>
  <c r="C39" i="19"/>
  <c r="C31" i="14" s="1"/>
  <c r="C29" i="14"/>
  <c r="I19" i="24" l="1"/>
  <c r="F62" i="21"/>
  <c r="E62" i="21"/>
  <c r="E46" i="20"/>
  <c r="F46" i="20"/>
  <c r="D22" i="20"/>
  <c r="D93" i="21"/>
  <c r="K77" i="25"/>
  <c r="L77" i="25"/>
  <c r="I84" i="25"/>
  <c r="J85" i="25" s="1"/>
  <c r="K85" i="25" s="1"/>
  <c r="U77" i="25"/>
  <c r="E9" i="22"/>
  <c r="F9" i="22"/>
  <c r="C103" i="21"/>
  <c r="C17" i="24"/>
  <c r="F30" i="14"/>
  <c r="W78" i="25"/>
  <c r="X78" i="25"/>
  <c r="F105" i="21"/>
  <c r="E105" i="21"/>
  <c r="F107" i="21"/>
  <c r="E107" i="21"/>
  <c r="D21" i="25"/>
  <c r="F21" i="25"/>
  <c r="F24" i="24"/>
  <c r="E24" i="24"/>
  <c r="F15" i="20"/>
  <c r="E15" i="20"/>
  <c r="B23" i="25"/>
  <c r="B27" i="25" s="1"/>
  <c r="D19" i="25"/>
  <c r="F19" i="25"/>
  <c r="E21" i="20"/>
  <c r="F21" i="20"/>
  <c r="C16" i="20"/>
  <c r="F14" i="21"/>
  <c r="C29" i="21"/>
  <c r="E14" i="21"/>
  <c r="F17" i="25"/>
  <c r="B20" i="25"/>
  <c r="D17" i="25"/>
  <c r="C33" i="20"/>
  <c r="E20" i="23"/>
  <c r="F20" i="23"/>
  <c r="F31" i="23"/>
  <c r="E31" i="23"/>
  <c r="E36" i="23"/>
  <c r="F36" i="23"/>
  <c r="F38" i="25"/>
  <c r="F40" i="25" s="1"/>
  <c r="H38" i="25"/>
  <c r="H40" i="25" s="1"/>
  <c r="D40" i="25"/>
  <c r="I27" i="10"/>
  <c r="G27" i="10"/>
  <c r="J96" i="21"/>
  <c r="L96" i="21"/>
  <c r="K96" i="21"/>
  <c r="H10" i="14"/>
  <c r="H29" i="2"/>
  <c r="D11" i="14"/>
  <c r="D90" i="2"/>
  <c r="E22" i="24"/>
  <c r="I30" i="14"/>
  <c r="J11" i="14"/>
  <c r="J90" i="2"/>
  <c r="J95" i="2" s="1"/>
  <c r="J96" i="2" s="1"/>
  <c r="E28" i="18"/>
  <c r="E34" i="14" s="1"/>
  <c r="E76" i="18"/>
  <c r="E18" i="19"/>
  <c r="E25" i="14" s="1"/>
  <c r="E23" i="14"/>
  <c r="I21" i="10"/>
  <c r="G21" i="10"/>
  <c r="G25" i="10" s="1"/>
  <c r="G10" i="14"/>
  <c r="I35" i="10"/>
  <c r="G35" i="10"/>
  <c r="C90" i="2"/>
  <c r="C11" i="14"/>
  <c r="G29" i="2"/>
  <c r="F10" i="14"/>
  <c r="I10" i="14"/>
  <c r="I29" i="2"/>
  <c r="E27" i="18"/>
  <c r="E26" i="14"/>
  <c r="F29" i="2"/>
  <c r="D94" i="21" l="1"/>
  <c r="D27" i="20"/>
  <c r="D96" i="21"/>
  <c r="J98" i="2"/>
  <c r="J101" i="2"/>
  <c r="K75" i="25"/>
  <c r="L75" i="25"/>
  <c r="U76" i="25"/>
  <c r="L76" i="25"/>
  <c r="K76" i="25"/>
  <c r="K84" i="25" s="1"/>
  <c r="F7" i="22"/>
  <c r="E7" i="22"/>
  <c r="X77" i="25"/>
  <c r="W77" i="25"/>
  <c r="F18" i="24"/>
  <c r="E18" i="24"/>
  <c r="C26" i="23"/>
  <c r="F26" i="23" s="1"/>
  <c r="F103" i="21"/>
  <c r="C101" i="21"/>
  <c r="E103" i="21"/>
  <c r="G30" i="14"/>
  <c r="C16" i="24"/>
  <c r="E17" i="24"/>
  <c r="F17" i="24"/>
  <c r="B29" i="25"/>
  <c r="D25" i="25"/>
  <c r="F25" i="25"/>
  <c r="D20" i="25"/>
  <c r="F20" i="25"/>
  <c r="F29" i="14"/>
  <c r="F33" i="20"/>
  <c r="E33" i="20"/>
  <c r="C17" i="20"/>
  <c r="E29" i="21"/>
  <c r="F29" i="21"/>
  <c r="F16" i="20"/>
  <c r="E16" i="20"/>
  <c r="F23" i="25"/>
  <c r="D23" i="25"/>
  <c r="B24" i="25"/>
  <c r="B28" i="25" s="1"/>
  <c r="F90" i="2"/>
  <c r="F11" i="14"/>
  <c r="I24" i="10"/>
  <c r="G24" i="10"/>
  <c r="I25" i="10"/>
  <c r="H11" i="14"/>
  <c r="H90" i="2"/>
  <c r="H95" i="2" s="1"/>
  <c r="H98" i="2" s="1"/>
  <c r="I90" i="2"/>
  <c r="I95" i="2" s="1"/>
  <c r="I96" i="2" s="1"/>
  <c r="I11" i="14"/>
  <c r="G11" i="14"/>
  <c r="G90" i="2"/>
  <c r="G95" i="2" s="1"/>
  <c r="C95" i="2"/>
  <c r="C16" i="14"/>
  <c r="J16" i="14"/>
  <c r="D95" i="2"/>
  <c r="D16" i="14"/>
  <c r="U75" i="25" l="1"/>
  <c r="W75" i="25" s="1"/>
  <c r="E10" i="26"/>
  <c r="E9" i="26"/>
  <c r="E8" i="26"/>
  <c r="D7" i="24"/>
  <c r="D26" i="24"/>
  <c r="D19" i="23"/>
  <c r="D38" i="23" s="1"/>
  <c r="D29" i="20"/>
  <c r="D99" i="21"/>
  <c r="D28" i="20"/>
  <c r="C22" i="23"/>
  <c r="C23" i="24" s="1"/>
  <c r="E26" i="23"/>
  <c r="F95" i="2"/>
  <c r="G96" i="2"/>
  <c r="I98" i="2"/>
  <c r="I101" i="2"/>
  <c r="X75" i="25"/>
  <c r="W76" i="25"/>
  <c r="X76" i="25"/>
  <c r="U84" i="25"/>
  <c r="C108" i="21"/>
  <c r="F101" i="21"/>
  <c r="E101" i="21"/>
  <c r="D24" i="25"/>
  <c r="F24" i="25"/>
  <c r="C35" i="20"/>
  <c r="E22" i="23"/>
  <c r="F22" i="23"/>
  <c r="B31" i="25"/>
  <c r="D27" i="25"/>
  <c r="F27" i="25"/>
  <c r="F29" i="25"/>
  <c r="D29" i="25"/>
  <c r="C36" i="20"/>
  <c r="E37" i="23"/>
  <c r="F37" i="23"/>
  <c r="F17" i="20"/>
  <c r="E17" i="20"/>
  <c r="F16" i="24"/>
  <c r="E16" i="24"/>
  <c r="J21" i="14"/>
  <c r="C8" i="18"/>
  <c r="C98" i="2"/>
  <c r="C23" i="14" s="1"/>
  <c r="C21" i="14"/>
  <c r="I16" i="14"/>
  <c r="D98" i="2"/>
  <c r="D23" i="14" s="1"/>
  <c r="D21" i="14"/>
  <c r="G16" i="14"/>
  <c r="H16" i="14"/>
  <c r="G29" i="10"/>
  <c r="I29" i="10"/>
  <c r="G28" i="10"/>
  <c r="I28" i="10"/>
  <c r="C7" i="24"/>
  <c r="F16" i="14"/>
  <c r="D27" i="24" l="1"/>
  <c r="W84" i="25"/>
  <c r="V85" i="25"/>
  <c r="W85" i="25" s="1"/>
  <c r="X84" i="25"/>
  <c r="D111" i="21"/>
  <c r="D32" i="20"/>
  <c r="D37" i="20"/>
  <c r="G98" i="2"/>
  <c r="F96" i="2"/>
  <c r="G101" i="2"/>
  <c r="F108" i="21"/>
  <c r="E108" i="21"/>
  <c r="E7" i="24"/>
  <c r="F7" i="24"/>
  <c r="F36" i="20"/>
  <c r="E36" i="20"/>
  <c r="F35" i="20"/>
  <c r="E35" i="20"/>
  <c r="B32" i="25"/>
  <c r="D28" i="25"/>
  <c r="F28" i="25"/>
  <c r="F31" i="25"/>
  <c r="D31" i="25"/>
  <c r="G21" i="14"/>
  <c r="I21" i="14"/>
  <c r="J23" i="14"/>
  <c r="G32" i="10"/>
  <c r="I32" i="10"/>
  <c r="I33" i="10"/>
  <c r="G33" i="10"/>
  <c r="H21" i="14"/>
  <c r="J26" i="14"/>
  <c r="J22" i="14"/>
  <c r="F98" i="2" l="1"/>
  <c r="F101" i="2"/>
  <c r="D32" i="25"/>
  <c r="F32" i="25"/>
  <c r="H22" i="14"/>
  <c r="H26" i="14"/>
  <c r="J25" i="14"/>
  <c r="J31" i="14"/>
  <c r="J34" i="14"/>
  <c r="F21" i="14"/>
  <c r="G36" i="10"/>
  <c r="I36" i="10"/>
  <c r="I23" i="14"/>
  <c r="I22" i="14"/>
  <c r="I26" i="14"/>
  <c r="G23" i="14"/>
  <c r="G22" i="14"/>
  <c r="G31" i="14" l="1"/>
  <c r="G26" i="14"/>
  <c r="G34" i="14"/>
  <c r="I34" i="14"/>
  <c r="I31" i="14"/>
  <c r="I25" i="14"/>
  <c r="H23" i="14"/>
  <c r="F23" i="14"/>
  <c r="C18" i="23"/>
  <c r="G38" i="14"/>
  <c r="I38" i="14"/>
  <c r="F22" i="14"/>
  <c r="E26" i="24"/>
  <c r="F26" i="14" l="1"/>
  <c r="C19" i="23"/>
  <c r="C31" i="20"/>
  <c r="E18" i="23"/>
  <c r="F18" i="23"/>
  <c r="F26" i="24"/>
  <c r="F34" i="14"/>
  <c r="F38" i="14"/>
  <c r="H25" i="14"/>
  <c r="H31" i="14"/>
  <c r="H34" i="14"/>
  <c r="F25" i="14"/>
  <c r="F31" i="14"/>
  <c r="H38" i="14"/>
  <c r="E31" i="20" l="1"/>
  <c r="F31" i="20"/>
  <c r="F19" i="23"/>
  <c r="C38" i="23"/>
  <c r="E38" i="23" s="1"/>
  <c r="C32" i="20"/>
  <c r="E19" i="23"/>
  <c r="E32" i="21"/>
  <c r="F32" i="21"/>
  <c r="C31" i="21"/>
  <c r="F31" i="21" s="1"/>
  <c r="E32" i="20" l="1"/>
  <c r="F32" i="20"/>
  <c r="C37" i="20"/>
  <c r="F38" i="23"/>
  <c r="C88" i="21"/>
  <c r="E88" i="21" s="1"/>
  <c r="C19" i="20"/>
  <c r="E31" i="21"/>
  <c r="E37" i="20" l="1"/>
  <c r="F37" i="20"/>
  <c r="C93" i="21"/>
  <c r="F93" i="21" s="1"/>
  <c r="C22" i="20"/>
  <c r="F22" i="20" s="1"/>
  <c r="F88" i="21"/>
  <c r="F19" i="20"/>
  <c r="E19" i="20"/>
  <c r="C94" i="21" l="1"/>
  <c r="C96" i="21" s="1"/>
  <c r="C75" i="24" s="1"/>
  <c r="C74" i="24" s="1"/>
  <c r="C71" i="24" s="1"/>
  <c r="C27" i="20"/>
  <c r="F27" i="20" s="1"/>
  <c r="E93" i="21"/>
  <c r="E22" i="20"/>
  <c r="E96" i="21"/>
  <c r="F96" i="21"/>
  <c r="F94" i="21"/>
  <c r="E94" i="21"/>
  <c r="E99" i="21" s="1"/>
  <c r="C99" i="21" l="1"/>
  <c r="F99" i="21" s="1"/>
  <c r="C28" i="20"/>
  <c r="C29" i="20"/>
  <c r="F29" i="20" s="1"/>
  <c r="E27" i="20"/>
  <c r="F28" i="20"/>
  <c r="E28" i="20"/>
  <c r="E29" i="20"/>
  <c r="C44" i="20"/>
  <c r="H24" i="18" l="1"/>
  <c r="H21" i="18" s="1"/>
  <c r="J24" i="18"/>
  <c r="I24" i="18" l="1"/>
  <c r="G24" i="18"/>
  <c r="G21" i="18" s="1"/>
  <c r="J21" i="18"/>
  <c r="F23" i="24"/>
  <c r="F24" i="18"/>
  <c r="F21" i="18" l="1"/>
  <c r="C20" i="24" s="1"/>
  <c r="I21" i="18"/>
  <c r="E23" i="24"/>
  <c r="C19" i="24" l="1"/>
  <c r="E20" i="24"/>
  <c r="F20" i="24"/>
  <c r="E19" i="24" l="1"/>
  <c r="C27" i="24"/>
  <c r="I20" i="24"/>
  <c r="E27" i="24"/>
  <c r="F19" i="24"/>
  <c r="F27" i="24"/>
  <c r="D40" i="20"/>
  <c r="E40" i="20" l="1"/>
  <c r="F40" i="20"/>
  <c r="F75" i="24"/>
  <c r="E75" i="24"/>
  <c r="E74" i="24" l="1"/>
  <c r="K74" i="24"/>
  <c r="F74" i="24"/>
  <c r="D44" i="20"/>
  <c r="D71" i="24"/>
  <c r="F71" i="24" l="1"/>
  <c r="E71" i="24"/>
</calcChain>
</file>

<file path=xl/comments1.xml><?xml version="1.0" encoding="utf-8"?>
<comments xmlns="http://schemas.openxmlformats.org/spreadsheetml/2006/main">
  <authors>
    <author>Admin</author>
    <author>User</author>
  </authors>
  <commentList>
    <comment ref="J10" authorId="0">
      <text>
        <r>
          <rPr>
            <b/>
            <sz val="8"/>
            <color indexed="81"/>
            <rFont val="Tahoma"/>
            <family val="2"/>
            <charset val="204"/>
          </rPr>
          <t>добавила +20тис.грн на ремонт Пагорба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10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197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було =5,6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='1.Фінансовий результат'!D104*0,18=1732,1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H20" authorId="0">
      <text>
        <r>
          <rPr>
            <b/>
            <sz val="12"/>
            <color indexed="81"/>
            <rFont val="Tahoma"/>
            <family val="2"/>
            <charset val="204"/>
          </rPr>
          <t>=48,0 за І півріччя</t>
        </r>
        <r>
          <rPr>
            <sz val="12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Плановий</author>
  </authors>
  <commentList>
    <comment ref="D74" authorId="0">
      <text>
        <r>
          <rPr>
            <b/>
            <sz val="9"/>
            <color indexed="81"/>
            <rFont val="Tahoma"/>
            <family val="2"/>
            <charset val="204"/>
          </rPr>
          <t>код=1165 Ф1 =648,0</t>
        </r>
      </text>
    </comment>
  </commentList>
</comments>
</file>

<file path=xl/comments5.xml><?xml version="1.0" encoding="utf-8"?>
<comments xmlns="http://schemas.openxmlformats.org/spreadsheetml/2006/main">
  <authors>
    <author>Плановий</author>
  </authors>
  <commentList>
    <comment ref="C18" authorId="0">
      <text>
        <r>
          <rPr>
            <b/>
            <sz val="9"/>
            <color indexed="81"/>
            <rFont val="Tahoma"/>
            <charset val="1"/>
          </rPr>
          <t>відпускні та компенсація</t>
        </r>
      </text>
    </comment>
  </commentList>
</comments>
</file>

<file path=xl/sharedStrings.xml><?xml version="1.0" encoding="utf-8"?>
<sst xmlns="http://schemas.openxmlformats.org/spreadsheetml/2006/main" count="1193" uniqueCount="567">
  <si>
    <t>Код рядка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</si>
  <si>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</si>
  <si>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</si>
  <si>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</si>
  <si>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</si>
  <si>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</si>
  <si>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</si>
  <si>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</si>
  <si>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</si>
  <si>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</si>
  <si>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</si>
  <si>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</si>
  <si>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</si>
  <si>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</si>
  <si>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</si>
  <si>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</si>
  <si>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</si>
  <si>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</si>
  <si>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</si>
  <si>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</si>
  <si>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</si>
  <si>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</si>
  <si>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</si>
  <si>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</si>
  <si>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</si>
  <si>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</si>
  <si>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</si>
  <si>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</si>
  <si>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</si>
  <si>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</si>
  <si>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</si>
  <si>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</si>
  <si>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</si>
  <si>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</si>
  <si>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</si>
  <si>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</si>
  <si>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</si>
  <si>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</si>
  <si>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</si>
  <si>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</si>
  <si>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</si>
  <si>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</si>
  <si>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</si>
  <si>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</si>
  <si>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</si>
  <si>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</si>
  <si>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</si>
  <si>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</si>
  <si>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</si>
  <si>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</si>
  <si>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</si>
  <si>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</si>
  <si>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</si>
  <si>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</si>
  <si>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</si>
  <si>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</si>
  <si>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>за минулий рік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</si>
  <si>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</si>
  <si>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</si>
  <si>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</si>
  <si>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</si>
  <si>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</si>
  <si>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</si>
  <si>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</si>
  <si>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</si>
  <si>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</si>
  <si>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</si>
  <si>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</si>
  <si>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</si>
  <si>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</si>
  <si>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</si>
  <si>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</si>
  <si>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</si>
  <si>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</si>
  <si>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</si>
  <si>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</si>
  <si>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</si>
  <si>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</si>
  <si>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</si>
  <si>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І. Формування фінансових результатів</t>
  </si>
  <si>
    <t>плата за користування надрами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</si>
  <si>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</si>
  <si>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</si>
  <si>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</si>
  <si>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</si>
  <si>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</si>
  <si>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</si>
  <si>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</si>
  <si>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фінансові доходи (розшифрувати)</t>
  </si>
  <si>
    <t>Фінансові витрати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</si>
  <si>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</si>
  <si>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</si>
  <si>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</si>
  <si>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</si>
  <si>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</si>
  <si>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</si>
  <si>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</si>
  <si>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</si>
  <si>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</si>
  <si>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</si>
  <si>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</si>
  <si>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</si>
  <si>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</si>
  <si>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</si>
  <si>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</si>
  <si>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</si>
  <si>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</si>
  <si>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</si>
  <si>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</si>
  <si>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</si>
  <si>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</si>
  <si>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</si>
  <si>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</si>
  <si>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</si>
  <si>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</si>
  <si>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</si>
  <si>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</si>
  <si>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</si>
  <si>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</si>
  <si>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</si>
  <si>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</si>
  <si>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</si>
  <si>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</si>
  <si>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</si>
  <si>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</si>
  <si>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</si>
  <si>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</si>
  <si>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</si>
  <si>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</si>
  <si>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</si>
  <si>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</si>
  <si>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</si>
  <si>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</si>
  <si>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 xml:space="preserve">Прибуток (збиток) від звичайної діяльності до оподаткування </t>
  </si>
  <si>
    <t>Коригування на: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</si>
  <si>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</si>
  <si>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</si>
  <si>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</si>
  <si>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</si>
  <si>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</si>
  <si>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</si>
  <si>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</si>
  <si>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</si>
  <si>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</si>
  <si>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</si>
  <si>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</si>
  <si>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</si>
  <si>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</si>
  <si>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</si>
  <si>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</si>
  <si>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</si>
  <si>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</si>
  <si>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</si>
  <si>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</si>
  <si>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</si>
  <si>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</si>
  <si>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</si>
  <si>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</si>
  <si>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</si>
  <si>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</si>
  <si>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</si>
  <si>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</si>
  <si>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</si>
  <si>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</si>
  <si>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</si>
  <si>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</si>
  <si>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</si>
  <si>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</si>
  <si>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</si>
  <si>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</si>
  <si>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</si>
  <si>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</si>
  <si>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</si>
  <si>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</si>
  <si>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</si>
  <si>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</si>
  <si>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</si>
  <si>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</si>
  <si>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</si>
  <si>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</si>
  <si>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                      (посада)</t>
  </si>
  <si>
    <r>
      <t xml:space="preserve">Керівник </t>
    </r>
    <r>
      <rPr>
        <sz val="14"/>
        <rFont val="Times New Roman"/>
        <family val="1"/>
        <charset val="204"/>
      </rPr>
      <t xml:space="preserve"> __________________________________</t>
    </r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</si>
  <si>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</si>
  <si>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</si>
  <si>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</si>
  <si>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</si>
  <si>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</si>
  <si>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</si>
  <si>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</si>
  <si>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</si>
  <si>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</si>
  <si>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</si>
  <si>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</si>
  <si>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</si>
  <si>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</si>
  <si>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</si>
  <si>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 xml:space="preserve">                    (підпис)</t>
  </si>
  <si>
    <r>
      <t xml:space="preserve">Керівник </t>
    </r>
    <r>
      <rPr>
        <sz val="14"/>
        <rFont val="Times New Roman"/>
        <family val="1"/>
        <charset val="204"/>
      </rPr>
      <t>______________________________</t>
    </r>
  </si>
  <si>
    <t xml:space="preserve">                                     (посада)</t>
  </si>
  <si>
    <t xml:space="preserve">                                        (посада)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</si>
  <si>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</si>
  <si>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</si>
  <si>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</si>
  <si>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</si>
  <si>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</si>
  <si>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</si>
  <si>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</si>
  <si>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</si>
  <si>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</si>
  <si>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</si>
  <si>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</si>
  <si>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</si>
  <si>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</si>
  <si>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</si>
  <si>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</si>
  <si>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</si>
  <si>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</si>
  <si>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</si>
  <si>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</si>
  <si>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</si>
  <si>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</si>
  <si>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</si>
  <si>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</si>
  <si>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</si>
  <si>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</si>
  <si>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 xml:space="preserve">      Загальна інформація про підприємство (резюме)</t>
  </si>
  <si>
    <t>Мета використання</t>
  </si>
  <si>
    <t>План з повернення коштів</t>
  </si>
  <si>
    <t>План із залучення коштів</t>
  </si>
  <si>
    <t xml:space="preserve">Доходи 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</si>
  <si>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</si>
  <si>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</si>
  <si>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</si>
  <si>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</si>
  <si>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</si>
  <si>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</si>
  <si>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</si>
  <si>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</si>
  <si>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</si>
  <si>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</si>
  <si>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 xml:space="preserve">I </t>
  </si>
  <si>
    <t>II</t>
  </si>
  <si>
    <t>III</t>
  </si>
  <si>
    <t>IV</t>
  </si>
  <si>
    <t>I</t>
  </si>
  <si>
    <t>Інші операційні доходи</t>
  </si>
  <si>
    <t>Інші доходи</t>
  </si>
  <si>
    <t>Інші витрати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</si>
  <si>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</si>
  <si>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</si>
  <si>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</si>
  <si>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</si>
  <si>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</si>
  <si>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 xml:space="preserve">      2. Інформація про бізнес підприємства (код рядка 1040 "чистий дохід від реалізації продукції ( товарів, робіт, послуг)" фінансового плану)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</si>
  <si>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</si>
  <si>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 xml:space="preserve">       6. Витрати на оренду службових автомобілів (у складі адміністративних витрат, рядок 1082)</t>
  </si>
  <si>
    <t>Доходи від фінансової діяльності</t>
  </si>
  <si>
    <t>Витрати від фінансової діяльності</t>
  </si>
  <si>
    <t xml:space="preserve">      8.  Капітальне будівництво (рядок 4010 таблиці 4)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</si>
  <si>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</si>
  <si>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</si>
  <si>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</si>
  <si>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</si>
  <si>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</si>
  <si>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</si>
  <si>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</si>
  <si>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</si>
  <si>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фінансування капітальних інвестицій (оплата грошовими коштами), усього</t>
  </si>
  <si>
    <t>власні кошти</t>
  </si>
  <si>
    <t>кредитні кошти</t>
  </si>
  <si>
    <t>у тому числі</t>
  </si>
  <si>
    <t xml:space="preserve">Зокрема за кварталами </t>
  </si>
  <si>
    <r>
      <t xml:space="preserve">Керівник </t>
    </r>
    <r>
      <rPr>
        <sz val="12"/>
        <rFont val="Times New Roman"/>
        <family val="1"/>
        <charset val="204"/>
      </rPr>
      <t>_______________________________</t>
    </r>
  </si>
  <si>
    <t xml:space="preserve">                                                            1. Дані про підприємство, персонал та фонд заробітної плати</t>
  </si>
  <si>
    <t>Нарахування на заробітну плату</t>
  </si>
  <si>
    <t>витрати на газопостачання</t>
  </si>
  <si>
    <t>охорона обєкту</t>
  </si>
  <si>
    <t>витрати на водопостачання</t>
  </si>
  <si>
    <t xml:space="preserve">підписні видання </t>
  </si>
  <si>
    <t>Матеріальні витрати</t>
  </si>
  <si>
    <t>послуги банку</t>
  </si>
  <si>
    <t>матеріальні вирати</t>
  </si>
  <si>
    <t>Інші операційні витрати (розшифрувати)</t>
  </si>
  <si>
    <t>оренда приміщення</t>
  </si>
  <si>
    <t>інші витрати на збут (розшифрувати)в т.ч.</t>
  </si>
  <si>
    <t>інші адміністративні витрати (розшифрувати) в т.ч.</t>
  </si>
  <si>
    <t xml:space="preserve">інші операційні витрати (розшифрувати) в т.ч. </t>
  </si>
  <si>
    <t xml:space="preserve">Збір за спецводокористування </t>
  </si>
  <si>
    <t>Відшкодування земельного податку</t>
  </si>
  <si>
    <t>Екологічний податок</t>
  </si>
  <si>
    <t>інші витрати (розшифрувати) в т.ч.</t>
  </si>
  <si>
    <t>Вивіз ТПВ</t>
  </si>
  <si>
    <t xml:space="preserve">витрати на зв'язок </t>
  </si>
  <si>
    <t>найманий транспорт</t>
  </si>
  <si>
    <t>Водопостачання</t>
  </si>
  <si>
    <t>Газопостачання</t>
  </si>
  <si>
    <t xml:space="preserve">зв'язок </t>
  </si>
  <si>
    <t>обслуговування РРО</t>
  </si>
  <si>
    <t>дивіденди</t>
  </si>
  <si>
    <t>Відшкодування  податку за землю</t>
  </si>
  <si>
    <t>Ритуальні послуги</t>
  </si>
  <si>
    <t>службова</t>
  </si>
  <si>
    <t>Витрати, всього</t>
  </si>
  <si>
    <t>Мета викори-стання</t>
  </si>
  <si>
    <t>"Комбінат комунальних підприємств" Черкаської міської ради</t>
  </si>
  <si>
    <t>ФІНАНСОВИЙ  ПЛАН  КОМУНАЛЬНОГО  ПІДПРИЄМСТВА</t>
  </si>
  <si>
    <t xml:space="preserve">Інформація </t>
  </si>
  <si>
    <t>Валовий прибуток /збиток</t>
  </si>
  <si>
    <t>Надходження від:</t>
  </si>
  <si>
    <t>РеалізаціЇ продукції  (товарів,робіт,послуг)</t>
  </si>
  <si>
    <t>Витрачання на оплату:</t>
  </si>
  <si>
    <t>Товарів(робіт,послуг)</t>
  </si>
  <si>
    <t>Працівникам</t>
  </si>
  <si>
    <t>Зобовязань з податків і зборів</t>
  </si>
  <si>
    <t>Грошові кошти від операційної діяльності,у т.ч.</t>
  </si>
  <si>
    <t>Витрачання на оплату зобовязань з ПДВ:</t>
  </si>
  <si>
    <t>3070/1</t>
  </si>
  <si>
    <t>3070/2</t>
  </si>
  <si>
    <t>Інші витрачання</t>
  </si>
  <si>
    <t>3070/1/1.</t>
  </si>
  <si>
    <t>3070/2/1.</t>
  </si>
  <si>
    <t>3070/2/2.</t>
  </si>
  <si>
    <t>3070/2/3.</t>
  </si>
  <si>
    <t>3070/2/4.</t>
  </si>
  <si>
    <t>3070/2/5.</t>
  </si>
  <si>
    <t>3070/2/6.</t>
  </si>
  <si>
    <t>капітальне будівництво</t>
  </si>
  <si>
    <t>модернізація, модифікація (добудова, дообладнання, реконструкція) основних засобів,в т.ч.</t>
  </si>
  <si>
    <t>4020/1</t>
  </si>
  <si>
    <t>А. Г. Бейн</t>
  </si>
  <si>
    <t>А.Г. Бейн</t>
  </si>
  <si>
    <t>________________________</t>
  </si>
  <si>
    <t>КП"Комбінат комунальних підприємств" Черкаської міської ради</t>
  </si>
  <si>
    <t>План рік</t>
  </si>
  <si>
    <t>у т.ч. за кварталами</t>
  </si>
  <si>
    <t>Плано-вий рік</t>
  </si>
  <si>
    <t>1992, 2006</t>
  </si>
  <si>
    <t>Ваз -2121, Шевролет</t>
  </si>
  <si>
    <r>
      <t>Керівник</t>
    </r>
    <r>
      <rPr>
        <sz val="12"/>
        <rFont val="Times New Roman"/>
        <family val="1"/>
        <charset val="204"/>
      </rPr>
      <t xml:space="preserve">   _____________________________________</t>
    </r>
  </si>
  <si>
    <t>1058/1</t>
  </si>
  <si>
    <t>1058/2</t>
  </si>
  <si>
    <t>1058/3</t>
  </si>
  <si>
    <t>1058/4</t>
  </si>
  <si>
    <t>1058/5</t>
  </si>
  <si>
    <t>1058/6</t>
  </si>
  <si>
    <t>1116/1</t>
  </si>
  <si>
    <t>1116/2</t>
  </si>
  <si>
    <t>1116/3</t>
  </si>
  <si>
    <t>1116/4</t>
  </si>
  <si>
    <t>1116/5</t>
  </si>
  <si>
    <t>1116/6</t>
  </si>
  <si>
    <t>1116/7</t>
  </si>
  <si>
    <t>1116/8</t>
  </si>
  <si>
    <t>1116/9</t>
  </si>
  <si>
    <t>1113/1</t>
  </si>
  <si>
    <t>2147/1</t>
  </si>
  <si>
    <t>2147/2</t>
  </si>
  <si>
    <t>2147/3</t>
  </si>
  <si>
    <t>Екологічний збір</t>
  </si>
  <si>
    <t>Збір за спецводокористування</t>
  </si>
  <si>
    <t>2147/4</t>
  </si>
  <si>
    <t>2147/5</t>
  </si>
  <si>
    <t>Військовий збір</t>
  </si>
  <si>
    <t>-</t>
  </si>
  <si>
    <t>4050/3</t>
  </si>
  <si>
    <t xml:space="preserve"> </t>
  </si>
  <si>
    <t>інші джерела (зазначити дже-рело)</t>
  </si>
  <si>
    <t>придбання (виготовлення) основних засобів ,  в т.ч.</t>
  </si>
  <si>
    <t xml:space="preserve">                Керівник </t>
  </si>
  <si>
    <t xml:space="preserve">Реконструкція Будинку Трауру (внутрішньо-оздоблювальні роботи) </t>
  </si>
  <si>
    <t>Капітальний  ремонт прибудинкової території будівлі "Будинку Трауру"</t>
  </si>
  <si>
    <t xml:space="preserve">Реконструкція  існуючих мереж зовнішнього освітлення меморіального комплексу "Пагорб  Слави " </t>
  </si>
  <si>
    <t>4050/2</t>
  </si>
  <si>
    <t>4050/4</t>
  </si>
  <si>
    <t xml:space="preserve">   </t>
  </si>
  <si>
    <t>4020/2</t>
  </si>
  <si>
    <t>2017рік</t>
  </si>
  <si>
    <t>обслуговування компютера,підписні видання</t>
  </si>
  <si>
    <t>Придбання автомобіля МАЗ 437№2Супер Міні( для вивезення сміття з кладовищ міста)</t>
  </si>
  <si>
    <t>витрати на поліпшення основних фондів (поточний ремонт)</t>
  </si>
  <si>
    <t>Доходи (виручка) від реалізації продукції (товарів, робіт,послуг)</t>
  </si>
  <si>
    <t>Факт минулого  року</t>
  </si>
  <si>
    <t>Фінансовий план поточного року року</t>
  </si>
  <si>
    <t>Прогноз на поточний рік</t>
  </si>
  <si>
    <t>Факт минулого року</t>
  </si>
  <si>
    <t>Фінансовий план поточного року</t>
  </si>
  <si>
    <t>Фінансовий план  поточного року</t>
  </si>
  <si>
    <t>Плановий  рік (усього)</t>
  </si>
  <si>
    <t>Плановий рік (усього)</t>
  </si>
  <si>
    <r>
      <t xml:space="preserve">на </t>
    </r>
    <r>
      <rPr>
        <b/>
        <u/>
        <sz val="12"/>
        <rFont val="Times New Roman"/>
        <family val="1"/>
        <charset val="204"/>
      </rPr>
      <t>2019</t>
    </r>
    <r>
      <rPr>
        <b/>
        <sz val="12"/>
        <rFont val="Times New Roman"/>
        <family val="1"/>
        <charset val="204"/>
      </rPr>
      <t xml:space="preserve"> рік</t>
    </r>
  </si>
  <si>
    <t>Факт    минулого  року</t>
  </si>
  <si>
    <r>
      <t xml:space="preserve"> до фінансового плану на </t>
    </r>
    <r>
      <rPr>
        <b/>
        <u/>
        <sz val="14"/>
        <rFont val="Times New Roman"/>
        <family val="1"/>
        <charset val="204"/>
      </rPr>
      <t xml:space="preserve">2019 </t>
    </r>
    <r>
      <rPr>
        <b/>
        <sz val="14"/>
        <rFont val="Times New Roman"/>
        <family val="1"/>
        <charset val="204"/>
      </rPr>
      <t>рік</t>
    </r>
  </si>
  <si>
    <t>План поточного року</t>
  </si>
  <si>
    <t>Прогноз на поточний</t>
  </si>
  <si>
    <t>Плановий рік до прогнозу на поточний рік, %</t>
  </si>
  <si>
    <t>Плановий рік до факту минулого року, %</t>
  </si>
  <si>
    <t>за плановий рік</t>
  </si>
  <si>
    <t xml:space="preserve">Фактичний показник поточного року </t>
  </si>
  <si>
    <t>Плановий 2019рік</t>
  </si>
  <si>
    <t>Плановий показник поточного 2018року</t>
  </si>
  <si>
    <t>План на 2019р.</t>
  </si>
  <si>
    <t>Заробітна плата</t>
  </si>
  <si>
    <t>12,0</t>
  </si>
  <si>
    <t>2,6</t>
  </si>
  <si>
    <t>1,4</t>
  </si>
  <si>
    <t>159,9</t>
  </si>
  <si>
    <t>143,9</t>
  </si>
  <si>
    <t xml:space="preserve">Придбання 50 контейнерів для збирання твердих побутових відходів 1,1м3 на кладовище міста </t>
  </si>
  <si>
    <t>Придбання   автомобіля (автомобіля вантажопасажирського)марки FORD TRANSIT Y363 Kombi          для транспортування до моргу померлих на судмедекспертизу</t>
  </si>
  <si>
    <t>4020/3</t>
  </si>
  <si>
    <t>4020/4</t>
  </si>
  <si>
    <t>План    рік     2019 (усього)</t>
  </si>
  <si>
    <t>Фактичний      показник за 2017рік</t>
  </si>
  <si>
    <t>Заборгованість за кредитами на початок____року</t>
  </si>
  <si>
    <t>план</t>
  </si>
  <si>
    <t xml:space="preserve">факт </t>
  </si>
  <si>
    <t>Звітний період</t>
  </si>
  <si>
    <t>факт</t>
  </si>
  <si>
    <t>відхилення, +/-</t>
  </si>
  <si>
    <t>Керівник підприємства</t>
  </si>
  <si>
    <t>виконання,%</t>
  </si>
  <si>
    <t>пояснення та обгрунтування відхилення від запланованого рівня доходів/витрат</t>
  </si>
  <si>
    <t>нарахування на заробітну плату</t>
  </si>
  <si>
    <t>Збільшення обумовлено  збільшенням вартості ритуальних послуг зважаючи на ріст прожиткового мініму, згідно законодавства та Галузевої Угоди</t>
  </si>
  <si>
    <t>Збільшення  відбулося відповідно до змін  Галузевої угоди та змін мінімальної заробітної плати</t>
  </si>
  <si>
    <t>Збільшення  вартості послуг</t>
  </si>
  <si>
    <t xml:space="preserve">Збільшення витрат обумовлено зростання заробітної плати відповідно змін до Галузевої Угоди </t>
  </si>
  <si>
    <t>Витрати не здійснювалися внаслідок відсутності фінансового ресурсу</t>
  </si>
  <si>
    <t>Збільшення вартості матеріалів</t>
  </si>
  <si>
    <t>Збільшення вартості послуг</t>
  </si>
  <si>
    <t xml:space="preserve">Збільшення вартості послуг 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</si>
  <si>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</si>
  <si>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 xml:space="preserve">Девіденди </t>
  </si>
  <si>
    <t>Відшкодування податку на землю</t>
  </si>
  <si>
    <t>Збір за спец.водокористування</t>
  </si>
  <si>
    <t>_____________________</t>
  </si>
  <si>
    <t xml:space="preserve">             (посада)</t>
  </si>
  <si>
    <t xml:space="preserve">       (ініціали, прізвище)    </t>
  </si>
  <si>
    <t xml:space="preserve"> А.Г. Бейн</t>
  </si>
  <si>
    <t>ЗВІТ</t>
  </si>
  <si>
    <t xml:space="preserve"> "Комбінат комунальних підприємств" Черкаської міської ради</t>
  </si>
  <si>
    <t>Витрати від фінансової  діяльності</t>
  </si>
  <si>
    <t xml:space="preserve">                  (посада)</t>
  </si>
  <si>
    <t>Зобов’язань з податків і зборів</t>
  </si>
  <si>
    <t>Витрачання на оплату зобов’язань з ПДВ:</t>
  </si>
  <si>
    <t>Надходження від отриманих:</t>
  </si>
  <si>
    <t xml:space="preserve">   (посада)</t>
  </si>
  <si>
    <t>_______</t>
  </si>
  <si>
    <t>ІІІ. Рух грошових коштів за 2019 рік</t>
  </si>
  <si>
    <t>придбання (виготовлення) основних засобів  -всього, в т.ч.</t>
  </si>
  <si>
    <t>модернізація, модифікація (добудова, дообладнання, реконструкція) основних засобів, в т.ч.</t>
  </si>
  <si>
    <t>4050/1</t>
  </si>
  <si>
    <t xml:space="preserve">      (ініціали, прізвище)    </t>
  </si>
  <si>
    <t>А. Г.  Бейн</t>
  </si>
  <si>
    <t>Оптимальне значення</t>
  </si>
  <si>
    <t>Факт відповідного періоду минулого року</t>
  </si>
  <si>
    <t>Факт за звітний період поточного року на останню дату</t>
  </si>
  <si>
    <t>Примітки</t>
  </si>
  <si>
    <t>Коефіцієнти рентабельності та прибутковості</t>
  </si>
  <si>
    <r>
      <rPr>
        <b/>
        <sz val="14"/>
        <rFont val="Times New Roman"/>
        <family val="1"/>
        <charset val="204"/>
      </rPr>
      <t>Коефіцієнт рентабельності активів</t>
    </r>
    <r>
      <rPr>
        <sz val="14"/>
        <rFont val="Times New Roman"/>
        <family val="1"/>
        <charset val="204"/>
      </rPr>
      <t xml:space="preserve">
(чистий фінансовий результат рядок 2350 ф.2 / вартість активів, рядок 1300 ф.1)</t>
    </r>
  </si>
  <si>
    <t>Збільшення</t>
  </si>
  <si>
    <t>Характеризує ефективність використання активів підприємства</t>
  </si>
  <si>
    <r>
      <rPr>
        <b/>
        <sz val="14"/>
        <rFont val="Times New Roman"/>
        <family val="1"/>
        <charset val="204"/>
      </rPr>
      <t>Коефіцієнт рентабельності власного капіталу</t>
    </r>
    <r>
      <rPr>
        <sz val="14"/>
        <rFont val="Times New Roman"/>
        <family val="1"/>
        <charset val="204"/>
      </rPr>
      <t xml:space="preserve">
(чистий фінансовий результат, рядок 2350 ф.2 / власний капітал, рядок 1495 ф.1)</t>
    </r>
  </si>
  <si>
    <r>
      <rPr>
        <b/>
        <sz val="14"/>
        <rFont val="Times New Roman"/>
        <family val="1"/>
        <charset val="204"/>
      </rPr>
      <t>Коефіцієнт рентабельності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2350 ф.2 / чистий дохід від реалізації продукції (товарів, робіт, послуг), рядок 2000 ф.2)</t>
    </r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</si>
  <si>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</si>
  <si>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</si>
  <si>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</si>
  <si>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r>
      <rPr>
        <b/>
        <sz val="14"/>
        <rFont val="Times New Roman"/>
        <family val="1"/>
        <charset val="204"/>
      </rPr>
      <t>Коефіцієнт фінансової стійкості</t>
    </r>
    <r>
      <rPr>
        <sz val="14"/>
        <rFont val="Times New Roman"/>
        <family val="1"/>
        <charset val="204"/>
      </rPr>
      <t xml:space="preserve">
(власний капітал, рядок 1495 ф.1 / довгострокові зобов'язання, рядок 1595 ф.1 + поточні зобов'язання, рядок 1695 ф.1)</t>
    </r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</si>
  <si>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</si>
  <si>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</si>
  <si>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r>
      <rPr>
        <b/>
        <sz val="14"/>
        <rFont val="Times New Roman"/>
        <family val="1"/>
        <charset val="204"/>
      </rPr>
      <t>Коефіцієнт поточної ліквідності (покриття)</t>
    </r>
    <r>
      <rPr>
        <sz val="14"/>
        <rFont val="Times New Roman"/>
        <family val="1"/>
        <charset val="204"/>
      </rPr>
      <t xml:space="preserve">
(оборотні активи, рядок 1195 ф.1 / поточні зобов'язання, рядок 1695 ф.1)</t>
    </r>
  </si>
  <si>
    <t>&gt; 1 - 1,5</t>
  </si>
  <si>
    <t xml:space="preserve">Показує достатність ресурсів підприємства, які може бути використано для погашення його поточних зобов'язань.  </t>
  </si>
  <si>
    <t>Аналіз капітальних інвестицій</t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</si>
  <si>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амортизації</t>
    </r>
    <r>
      <rPr>
        <sz val="14"/>
        <rFont val="Times New Roman"/>
        <family val="1"/>
        <charset val="204"/>
      </rPr>
      <t xml:space="preserve">
(рядок 4000 розділу IV фінансового плану / рядок 1290 розділу I фінансового плану) або р 100 Кап інвест/р 2515 Ф2</t>
    </r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</si>
  <si>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чистого доходу (виручки) від реалізації продукції (товарів, робіт, послуг)</t>
    </r>
    <r>
      <rPr>
        <sz val="14"/>
        <rFont val="Times New Roman"/>
        <family val="1"/>
        <charset val="204"/>
      </rPr>
      <t xml:space="preserve">
(рядок 4000 розділу IV фінансового плану / рядок 1040 розділу I фінансового плану) або р 100 Кап інвест/р 2000 Ф2</t>
    </r>
  </si>
  <si>
    <r>
      <rPr>
        <b/>
        <sz val="14"/>
        <rFont val="Times New Roman"/>
        <family val="1"/>
        <charset val="204"/>
      </rPr>
      <t xml:space="preserve">Коефіцієнт зносу основних засобів </t>
    </r>
    <r>
      <rPr>
        <sz val="14"/>
        <rFont val="Times New Roman"/>
        <family val="1"/>
        <charset val="204"/>
      </rPr>
      <t xml:space="preserve">
(сума зносу, рядок 1012 ф.1 / первісна вартість основних засобів, рядок 1011 ф.1) 
(форма 1, рядок 1012 / форма 1, рядок 1011)</t>
    </r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</si>
  <si>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</si>
  <si>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</si>
  <si>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</si>
  <si>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Керівник  підприємства</t>
  </si>
  <si>
    <t>_________________________</t>
  </si>
  <si>
    <t xml:space="preserve">       А.Г.Бейн</t>
  </si>
  <si>
    <t xml:space="preserve">    (посада)</t>
  </si>
  <si>
    <t xml:space="preserve">(ініціали, прізвище)    </t>
  </si>
  <si>
    <r>
      <rPr>
        <b/>
        <sz val="14"/>
        <rFont val="Times New Roman"/>
        <family val="1"/>
        <charset val="204"/>
      </rPr>
      <t>Валова рентабельність</t>
    </r>
    <r>
      <rPr>
        <sz val="14"/>
        <rFont val="Times New Roman"/>
        <family val="1"/>
        <charset val="204"/>
      </rPr>
      <t xml:space="preserve">
(валовий прибуток рядок 2090 ф.2  / чистий дохід від реалізації продукції (товарів, робіт, послуг) рядок 2000 ф.2,%)</t>
    </r>
  </si>
  <si>
    <t>Інформація</t>
  </si>
  <si>
    <t>КП "Комбінат комунальних підприємств" Черкаської міської ради</t>
  </si>
  <si>
    <t xml:space="preserve">      1. Дані про підприємство, персонал та фонд заробітної плати</t>
  </si>
  <si>
    <t>план звітного періоду</t>
  </si>
  <si>
    <t>факт звітного періоду</t>
  </si>
  <si>
    <t>відхилення,  +/-</t>
  </si>
  <si>
    <t>виконання, %</t>
  </si>
  <si>
    <t xml:space="preserve">2. Інформація про бізнес підприємства (код рядка 1040 "чистий дохід від реалізації продукції (товарів, робіт, послуг) фінансового плану) </t>
  </si>
  <si>
    <t>Плановий показник за період</t>
  </si>
  <si>
    <t>Фактичний показник за період</t>
  </si>
  <si>
    <t>Відхилення, +/-</t>
  </si>
  <si>
    <t>Виконання,%</t>
  </si>
  <si>
    <t>чистий дохід  від реалізації продукції (товарів, робіт, послуг),     тис. грн.</t>
  </si>
  <si>
    <t>кількість продукції/наданих послуг, одиниця виміру</t>
  </si>
  <si>
    <t xml:space="preserve"> 3. Діючі фінансові зобов'язання підприємства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</si>
  <si>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</si>
  <si>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</si>
  <si>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</si>
  <si>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</si>
  <si>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план </t>
  </si>
  <si>
    <r>
      <t>у тому числі:</t>
    </r>
    <r>
      <rPr>
        <i/>
        <sz val="12"/>
        <rFont val="Times New Roman"/>
        <family val="1"/>
        <charset val="204"/>
      </rPr>
      <t xml:space="preserve"> </t>
    </r>
  </si>
  <si>
    <t xml:space="preserve">  5. Витрати, пов'язані з використанням власних службових автомобілів (у складі адміністративних витрат, рядок 1041)</t>
  </si>
  <si>
    <t>Оплата праці</t>
  </si>
  <si>
    <t>відрахування на соц. заходи</t>
  </si>
  <si>
    <t>ВАЗ-2121,   Шевролет</t>
  </si>
  <si>
    <t xml:space="preserve">       6. Витрати на оренду службових автомобілів (у складі адміністративних витрат, рядок 1042)</t>
  </si>
  <si>
    <t xml:space="preserve">відхилення, +/- </t>
  </si>
  <si>
    <t>1.</t>
  </si>
  <si>
    <t>2.</t>
  </si>
  <si>
    <t>придбання ( створення) нематеріальних</t>
  </si>
  <si>
    <t>Інформація щодо проектно-кошторисної документації (стан розроблення, затвердження,  у разі затвердження зазначити орган, яким затверджено, та відповідний документ)</t>
  </si>
  <si>
    <t>інші джерела (зазначити джерело)</t>
  </si>
  <si>
    <t>Керівник</t>
  </si>
  <si>
    <t>А.Г.Бейн</t>
  </si>
  <si>
    <t>(ініціали,прізвище)</t>
  </si>
  <si>
    <t>1.1</t>
  </si>
  <si>
    <t>1.2</t>
  </si>
  <si>
    <t>1.3</t>
  </si>
  <si>
    <t>1.4</t>
  </si>
  <si>
    <r>
      <t xml:space="preserve">Керівник </t>
    </r>
    <r>
      <rPr>
        <sz val="12"/>
        <rFont val="Times New Roman"/>
        <family val="1"/>
        <charset val="204"/>
      </rPr>
      <t>________________________</t>
    </r>
  </si>
  <si>
    <t xml:space="preserve"> Усього по плану   за 2019р.</t>
  </si>
  <si>
    <t>Усього по факту за  2019р.</t>
  </si>
  <si>
    <t>VI. Коефіцієнтний аналіз за  2019 рік</t>
  </si>
  <si>
    <t xml:space="preserve">до звіту про виконання фінансового плану за   2019рік </t>
  </si>
  <si>
    <t>IV. Капітальні інвестиції за  2019 рік</t>
  </si>
  <si>
    <t>IІ. Розрахунки з бюджетом за 2019 рік</t>
  </si>
  <si>
    <t>за    2019 року</t>
  </si>
  <si>
    <t>4020/5</t>
  </si>
  <si>
    <t>податок на воду</t>
  </si>
  <si>
    <t>податок на нерухомість</t>
  </si>
  <si>
    <t>Податок на нерухомість</t>
  </si>
  <si>
    <t>2147/6</t>
  </si>
  <si>
    <t>Придбання автомобіля сміттєвоза ВЛІВ Міні Б</t>
  </si>
  <si>
    <t xml:space="preserve">Придбання   автобуса  марки "АТАМАН" </t>
  </si>
  <si>
    <t>Екскаватор - навантажувач "Катерпіллар"</t>
  </si>
  <si>
    <t>4020/6</t>
  </si>
  <si>
    <t>Мікроавтобус для транспортування до моргу померлих на судмедекспертизу</t>
  </si>
  <si>
    <t>4020/7</t>
  </si>
  <si>
    <t>Зменшення витрат за рахунок економного споживання на обігрів приміщень внаслідок більш теплої зими</t>
  </si>
  <si>
    <t xml:space="preserve">Зменшення витрат обумовлено наявною вакансією </t>
  </si>
  <si>
    <t>Зменшення за рахунок відсутності наданих інвестицій</t>
  </si>
  <si>
    <t>з виконання фінансового плану комунального плану</t>
  </si>
  <si>
    <t xml:space="preserve"> Керівник підприємства</t>
  </si>
  <si>
    <t>I. Формування фінансових результатів за  2019 рік</t>
  </si>
  <si>
    <t>1.5</t>
  </si>
  <si>
    <t>1.6</t>
  </si>
  <si>
    <t>1.7</t>
  </si>
  <si>
    <t xml:space="preserve">Збільшення обумовлено збільшенням вартості сировини </t>
  </si>
  <si>
    <t>відхилення +/-</t>
  </si>
  <si>
    <t>Зменшення  витрату зв"язку з  більш теплою зимою</t>
  </si>
  <si>
    <t>Збільшення вартості  сировини і матеріалів , вартості послуг з утилізації ТПВ</t>
  </si>
  <si>
    <t>Зменшення обумовлено  зменшенням вартості палива.</t>
  </si>
  <si>
    <t>Зменшення  витрат за рахунок зменшення обсягів використання привозної води на кладовища, внаслідок несвоєчасного надання фінансування з міського бюджету на ці цілі</t>
  </si>
  <si>
    <t>обслуговування компютера, підписні видання</t>
  </si>
  <si>
    <t xml:space="preserve">Зменшення витрат обумовлено зменшенням витрат на службовий транспорт, наявною вакансією </t>
  </si>
  <si>
    <t>Зменшення  витрат за рахунок наявності пільгового оподаткування (лікарняного)</t>
  </si>
  <si>
    <t>Зменшення  витрат у зв"язку з більш теплою зимою</t>
  </si>
  <si>
    <r>
      <t>Інші витрати (розшифрувати)</t>
    </r>
    <r>
      <rPr>
        <sz val="12"/>
        <color theme="0"/>
        <rFont val="Times New Roman"/>
        <family val="1"/>
        <charset val="204"/>
      </rPr>
      <t>, у тому числі:</t>
    </r>
  </si>
  <si>
    <t>%</t>
  </si>
  <si>
    <t xml:space="preserve">Інші операційні витрати </t>
  </si>
  <si>
    <t>Витрати  з податку на прибуток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</si>
</sst>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_-* #,##0.00_₴_-;\-* #,##0.00_₴_-;_-* &quot;-&quot;??_₴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#,##0.000"/>
    <numFmt numFmtId="179" formatCode="dd\.mm\.yyyy;@"/>
  </numFmts>
  <fonts count="11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9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 Cyr"/>
      <charset val="204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0"/>
      <color theme="0" tint="-0.34998626667073579"/>
      <name val="Arial Cyr"/>
      <charset val="204"/>
    </font>
    <font>
      <b/>
      <sz val="9"/>
      <color indexed="81"/>
      <name val="Tahoma"/>
      <charset val="1"/>
    </font>
    <font>
      <sz val="18"/>
      <name val="Arial Cyr"/>
      <charset val="204"/>
    </font>
    <font>
      <i/>
      <sz val="12"/>
      <color theme="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6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68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72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166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64" fillId="0" borderId="0" applyFont="0" applyFill="0" applyBorder="0" applyAlignment="0" applyProtection="0"/>
    <xf numFmtId="175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177" fontId="66" fillId="22" borderId="12" applyFill="0" applyBorder="0">
      <alignment horizontal="center" vertical="center" wrapText="1"/>
      <protection locked="0"/>
    </xf>
    <xf numFmtId="172" fontId="67" fillId="0" borderId="0">
      <alignment wrapText="1"/>
    </xf>
    <xf numFmtId="172" fontId="34" fillId="0" borderId="0">
      <alignment wrapText="1"/>
    </xf>
  </cellStyleXfs>
  <cellXfs count="788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1" fontId="5" fillId="0" borderId="0" xfId="0" applyNumberFormat="1" applyFont="1" applyFill="1" applyAlignment="1">
      <alignment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248" applyFont="1" applyFill="1" applyBorder="1" applyAlignment="1">
      <alignment horizontal="center" vertical="center" wrapText="1"/>
    </xf>
    <xf numFmtId="0" fontId="5" fillId="0" borderId="0" xfId="248" applyFont="1" applyFill="1" applyBorder="1" applyAlignment="1">
      <alignment vertical="center"/>
    </xf>
    <xf numFmtId="0" fontId="5" fillId="0" borderId="3" xfId="248" applyFont="1" applyFill="1" applyBorder="1" applyAlignment="1">
      <alignment horizontal="left" vertical="center" wrapText="1"/>
    </xf>
    <xf numFmtId="0" fontId="4" fillId="0" borderId="0" xfId="248" applyFont="1" applyFill="1" applyBorder="1" applyAlignment="1">
      <alignment vertical="center"/>
    </xf>
    <xf numFmtId="0" fontId="5" fillId="0" borderId="0" xfId="248" applyFont="1" applyFill="1" applyBorder="1" applyAlignment="1">
      <alignment horizontal="center" vertical="center"/>
    </xf>
    <xf numFmtId="0" fontId="4" fillId="0" borderId="0" xfId="2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8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8" applyFont="1" applyFill="1" applyBorder="1" applyAlignment="1">
      <alignment horizontal="left" vertical="center" wrapText="1"/>
    </xf>
    <xf numFmtId="0" fontId="13" fillId="0" borderId="0" xfId="248" applyFont="1" applyFill="1"/>
    <xf numFmtId="0" fontId="5" fillId="0" borderId="0" xfId="248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171" fontId="5" fillId="0" borderId="0" xfId="248" applyNumberFormat="1" applyFont="1" applyFill="1" applyBorder="1" applyAlignment="1">
      <alignment horizontal="center" vertical="center" wrapText="1"/>
    </xf>
    <xf numFmtId="171" fontId="5" fillId="0" borderId="0" xfId="248" applyNumberFormat="1" applyFont="1" applyFill="1" applyBorder="1" applyAlignment="1">
      <alignment horizontal="right" vertical="center" wrapText="1"/>
    </xf>
    <xf numFmtId="0" fontId="5" fillId="0" borderId="0" xfId="24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248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4" fillId="29" borderId="3" xfId="0" applyFont="1" applyFill="1" applyBorder="1" applyAlignment="1">
      <alignment horizontal="left" vertical="center" wrapText="1"/>
    </xf>
    <xf numFmtId="0" fontId="4" fillId="29" borderId="0" xfId="0" applyFont="1" applyFill="1" applyBorder="1" applyAlignment="1">
      <alignment vertical="center"/>
    </xf>
    <xf numFmtId="0" fontId="4" fillId="29" borderId="3" xfId="248" applyFont="1" applyFill="1" applyBorder="1" applyAlignment="1">
      <alignment horizontal="left" vertical="center" wrapText="1"/>
    </xf>
    <xf numFmtId="0" fontId="4" fillId="29" borderId="3" xfId="248" applyFont="1" applyFill="1" applyBorder="1" applyAlignment="1">
      <alignment horizontal="center" vertical="center" wrapText="1"/>
    </xf>
    <xf numFmtId="0" fontId="4" fillId="29" borderId="0" xfId="248" applyFont="1" applyFill="1" applyBorder="1" applyAlignment="1">
      <alignment vertical="center"/>
    </xf>
    <xf numFmtId="0" fontId="4" fillId="29" borderId="0" xfId="0" applyFont="1" applyFill="1" applyAlignment="1">
      <alignment vertical="center"/>
    </xf>
    <xf numFmtId="0" fontId="4" fillId="29" borderId="3" xfId="0" quotePrefix="1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 shrinkToFit="1"/>
    </xf>
    <xf numFmtId="2" fontId="9" fillId="0" borderId="16" xfId="0" applyNumberFormat="1" applyFont="1" applyFill="1" applyBorder="1" applyAlignment="1">
      <alignment horizontal="center" vertical="center" wrapText="1"/>
    </xf>
    <xf numFmtId="171" fontId="4" fillId="29" borderId="3" xfId="0" quotePrefix="1" applyNumberFormat="1" applyFont="1" applyFill="1" applyBorder="1" applyAlignment="1">
      <alignment horizontal="center" vertical="center" wrapText="1"/>
    </xf>
    <xf numFmtId="171" fontId="4" fillId="0" borderId="3" xfId="248" applyNumberFormat="1" applyFont="1" applyFill="1" applyBorder="1" applyAlignment="1">
      <alignment horizontal="center" vertical="center" wrapText="1"/>
    </xf>
    <xf numFmtId="171" fontId="4" fillId="29" borderId="3" xfId="248" applyNumberFormat="1" applyFont="1" applyFill="1" applyBorder="1" applyAlignment="1">
      <alignment horizontal="center" vertical="center" wrapText="1"/>
    </xf>
    <xf numFmtId="171" fontId="5" fillId="0" borderId="3" xfId="0" quotePrefix="1" applyNumberFormat="1" applyFont="1" applyFill="1" applyBorder="1" applyAlignment="1">
      <alignment horizontal="center" vertical="center" wrapText="1"/>
    </xf>
    <xf numFmtId="171" fontId="5" fillId="0" borderId="3" xfId="248" applyNumberFormat="1" applyFont="1" applyFill="1" applyBorder="1" applyAlignment="1">
      <alignment horizontal="center" vertical="center" wrapText="1"/>
    </xf>
    <xf numFmtId="171" fontId="6" fillId="0" borderId="3" xfId="248" applyNumberFormat="1" applyFont="1" applyFill="1" applyBorder="1" applyAlignment="1">
      <alignment horizontal="center" vertical="center" wrapText="1"/>
    </xf>
    <xf numFmtId="171" fontId="5" fillId="0" borderId="3" xfId="248" quotePrefix="1" applyNumberFormat="1" applyFont="1" applyFill="1" applyBorder="1" applyAlignment="1">
      <alignment horizontal="center" vertical="center" wrapText="1"/>
    </xf>
    <xf numFmtId="171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0" fontId="70" fillId="0" borderId="3" xfId="248" applyFont="1" applyFill="1" applyBorder="1" applyAlignment="1">
      <alignment horizontal="left" vertical="center" wrapText="1"/>
    </xf>
    <xf numFmtId="0" fontId="9" fillId="0" borderId="3" xfId="248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left" vertical="center" wrapText="1"/>
    </xf>
    <xf numFmtId="4" fontId="9" fillId="0" borderId="3" xfId="21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0" fillId="29" borderId="3" xfId="0" applyFont="1" applyFill="1" applyBorder="1" applyAlignment="1">
      <alignment horizontal="left" vertical="center" wrapText="1"/>
    </xf>
    <xf numFmtId="0" fontId="70" fillId="29" borderId="3" xfId="0" applyFont="1" applyFill="1" applyBorder="1" applyAlignment="1">
      <alignment horizontal="center" vertical="center"/>
    </xf>
    <xf numFmtId="171" fontId="70" fillId="29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171" fontId="70" fillId="0" borderId="3" xfId="0" applyNumberFormat="1" applyFont="1" applyFill="1" applyBorder="1" applyAlignment="1">
      <alignment horizontal="center" vertical="center" wrapText="1"/>
    </xf>
    <xf numFmtId="0" fontId="70" fillId="0" borderId="0" xfId="0" quotePrefix="1" applyFont="1" applyFill="1" applyBorder="1" applyAlignment="1">
      <alignment horizontal="center" vertical="center"/>
    </xf>
    <xf numFmtId="170" fontId="70" fillId="0" borderId="0" xfId="0" applyNumberFormat="1" applyFont="1" applyFill="1" applyBorder="1" applyAlignment="1">
      <alignment horizontal="center" vertical="center" wrapText="1"/>
    </xf>
    <xf numFmtId="170" fontId="70" fillId="0" borderId="0" xfId="0" applyNumberFormat="1" applyFont="1" applyFill="1" applyBorder="1" applyAlignment="1">
      <alignment horizontal="right" vertical="center"/>
    </xf>
    <xf numFmtId="170" fontId="70" fillId="0" borderId="0" xfId="0" applyNumberFormat="1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center" vertical="center"/>
    </xf>
    <xf numFmtId="171" fontId="7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49" fontId="70" fillId="0" borderId="3" xfId="0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left" vertical="center" wrapText="1"/>
    </xf>
    <xf numFmtId="171" fontId="9" fillId="0" borderId="3" xfId="0" quotePrefix="1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left" vertical="center"/>
    </xf>
    <xf numFmtId="171" fontId="9" fillId="0" borderId="3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3" xfId="0" quotePrefix="1" applyFont="1" applyFill="1" applyBorder="1" applyAlignment="1">
      <alignment horizontal="center" vertical="center"/>
    </xf>
    <xf numFmtId="171" fontId="70" fillId="0" borderId="3" xfId="0" quotePrefix="1" applyNumberFormat="1" applyFont="1" applyFill="1" applyBorder="1" applyAlignment="1">
      <alignment horizontal="center" vertical="center" wrapText="1"/>
    </xf>
    <xf numFmtId="0" fontId="70" fillId="29" borderId="3" xfId="0" quotePrefix="1" applyFont="1" applyFill="1" applyBorder="1" applyAlignment="1">
      <alignment horizontal="center" vertical="center"/>
    </xf>
    <xf numFmtId="0" fontId="70" fillId="29" borderId="15" xfId="0" applyFont="1" applyFill="1" applyBorder="1" applyAlignment="1">
      <alignment horizontal="center" vertical="center"/>
    </xf>
    <xf numFmtId="0" fontId="9" fillId="0" borderId="3" xfId="0" quotePrefix="1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vertical="center" wrapText="1"/>
      <protection locked="0"/>
    </xf>
    <xf numFmtId="0" fontId="70" fillId="0" borderId="18" xfId="0" applyFont="1" applyFill="1" applyBorder="1" applyAlignment="1">
      <alignment horizontal="center" vertical="center"/>
    </xf>
    <xf numFmtId="0" fontId="70" fillId="0" borderId="3" xfId="0" applyFont="1" applyFill="1" applyBorder="1" applyAlignment="1" applyProtection="1">
      <alignment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49" fontId="70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71" fontId="4" fillId="29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1" fontId="4" fillId="0" borderId="3" xfId="0" quotePrefix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0" fontId="5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2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4" fontId="70" fillId="0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 shrinkToFit="1"/>
    </xf>
    <xf numFmtId="0" fontId="0" fillId="0" borderId="16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 shrinkToFit="1"/>
    </xf>
    <xf numFmtId="0" fontId="69" fillId="0" borderId="21" xfId="0" applyFont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0" fontId="13" fillId="0" borderId="14" xfId="0" applyNumberFormat="1" applyFont="1" applyBorder="1" applyAlignment="1">
      <alignment horizontal="center" vertical="center" wrapText="1"/>
    </xf>
    <xf numFmtId="171" fontId="4" fillId="0" borderId="18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center" vertical="center" wrapText="1" shrinkToFit="1"/>
    </xf>
    <xf numFmtId="170" fontId="4" fillId="0" borderId="3" xfId="0" applyNumberFormat="1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75" fillId="29" borderId="3" xfId="0" applyFont="1" applyFill="1" applyBorder="1" applyAlignment="1">
      <alignment horizontal="left" vertical="center" wrapText="1"/>
    </xf>
    <xf numFmtId="171" fontId="75" fillId="29" borderId="3" xfId="0" applyNumberFormat="1" applyFont="1" applyFill="1" applyBorder="1" applyAlignment="1">
      <alignment horizontal="center" vertical="center" wrapText="1"/>
    </xf>
    <xf numFmtId="171" fontId="75" fillId="0" borderId="3" xfId="0" quotePrefix="1" applyNumberFormat="1" applyFont="1" applyFill="1" applyBorder="1" applyAlignment="1">
      <alignment horizontal="center" vertical="center" wrapText="1"/>
    </xf>
    <xf numFmtId="0" fontId="75" fillId="0" borderId="3" xfId="0" quotePrefix="1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248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top" wrapText="1"/>
    </xf>
    <xf numFmtId="0" fontId="71" fillId="0" borderId="3" xfId="0" applyFont="1" applyFill="1" applyBorder="1" applyAlignment="1">
      <alignment horizontal="left" vertical="top" wrapText="1"/>
    </xf>
    <xf numFmtId="0" fontId="71" fillId="0" borderId="18" xfId="0" applyFont="1" applyBorder="1" applyAlignment="1">
      <alignment vertical="top" wrapText="1"/>
    </xf>
    <xf numFmtId="0" fontId="71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top" wrapText="1" shrinkToFit="1"/>
    </xf>
    <xf numFmtId="171" fontId="6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171" fontId="71" fillId="0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171" fontId="71" fillId="0" borderId="3" xfId="0" quotePrefix="1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/>
    </xf>
    <xf numFmtId="0" fontId="79" fillId="0" borderId="0" xfId="0" applyFont="1"/>
    <xf numFmtId="0" fontId="71" fillId="0" borderId="15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171" fontId="80" fillId="0" borderId="3" xfId="0" quotePrefix="1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Alignment="1">
      <alignment horizontal="left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1" fillId="0" borderId="23" xfId="0" applyFont="1" applyFill="1" applyBorder="1" applyAlignment="1">
      <alignment vertical="center"/>
    </xf>
    <xf numFmtId="0" fontId="71" fillId="0" borderId="3" xfId="0" quotePrefix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left" vertical="center" wrapText="1"/>
    </xf>
    <xf numFmtId="3" fontId="9" fillId="30" borderId="3" xfId="0" applyNumberFormat="1" applyFont="1" applyFill="1" applyBorder="1" applyAlignment="1">
      <alignment horizontal="left" vertical="center" wrapText="1"/>
    </xf>
    <xf numFmtId="3" fontId="4" fillId="26" borderId="3" xfId="0" applyNumberFormat="1" applyFont="1" applyFill="1" applyBorder="1" applyAlignment="1">
      <alignment horizontal="center" vertical="center" wrapText="1"/>
    </xf>
    <xf numFmtId="3" fontId="4" fillId="0" borderId="3" xfId="0" quotePrefix="1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81" fillId="0" borderId="3" xfId="0" quotePrefix="1" applyNumberFormat="1" applyFont="1" applyFill="1" applyBorder="1" applyAlignment="1">
      <alignment horizontal="left" vertical="top" wrapText="1"/>
    </xf>
    <xf numFmtId="3" fontId="81" fillId="0" borderId="3" xfId="0" applyNumberFormat="1" applyFont="1" applyFill="1" applyBorder="1" applyAlignment="1">
      <alignment horizontal="center" vertical="center" wrapText="1"/>
    </xf>
    <xf numFmtId="3" fontId="81" fillId="0" borderId="3" xfId="0" applyNumberFormat="1" applyFont="1" applyFill="1" applyBorder="1" applyAlignment="1">
      <alignment horizontal="left" vertical="center" wrapText="1"/>
    </xf>
    <xf numFmtId="171" fontId="81" fillId="0" borderId="3" xfId="0" applyNumberFormat="1" applyFont="1" applyFill="1" applyBorder="1" applyAlignment="1">
      <alignment horizontal="left" vertical="center" wrapText="1"/>
    </xf>
    <xf numFmtId="3" fontId="81" fillId="0" borderId="3" xfId="0" applyNumberFormat="1" applyFont="1" applyFill="1" applyBorder="1" applyAlignment="1">
      <alignment horizontal="left" vertical="top" wrapText="1"/>
    </xf>
    <xf numFmtId="3" fontId="82" fillId="0" borderId="3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 wrapText="1"/>
    </xf>
    <xf numFmtId="3" fontId="4" fillId="0" borderId="3" xfId="248" applyNumberFormat="1" applyFont="1" applyFill="1" applyBorder="1" applyAlignment="1">
      <alignment horizontal="center" vertical="center" wrapText="1"/>
    </xf>
    <xf numFmtId="3" fontId="6" fillId="0" borderId="3" xfId="248" applyNumberFormat="1" applyFont="1" applyFill="1" applyBorder="1" applyAlignment="1">
      <alignment horizontal="center" vertical="center" wrapText="1"/>
    </xf>
    <xf numFmtId="3" fontId="5" fillId="0" borderId="3" xfId="248" applyNumberFormat="1" applyFont="1" applyFill="1" applyBorder="1" applyAlignment="1">
      <alignment horizontal="center" vertical="center" wrapText="1"/>
    </xf>
    <xf numFmtId="0" fontId="4" fillId="26" borderId="3" xfId="248" applyFont="1" applyFill="1" applyBorder="1" applyAlignment="1">
      <alignment horizontal="left" vertical="center" wrapText="1"/>
    </xf>
    <xf numFmtId="171" fontId="4" fillId="26" borderId="3" xfId="248" applyNumberFormat="1" applyFont="1" applyFill="1" applyBorder="1" applyAlignment="1">
      <alignment horizontal="center" vertical="center" wrapText="1"/>
    </xf>
    <xf numFmtId="3" fontId="4" fillId="26" borderId="3" xfId="248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/>
    </xf>
    <xf numFmtId="0" fontId="6" fillId="0" borderId="3" xfId="248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74" fillId="0" borderId="3" xfId="0" applyFont="1" applyFill="1" applyBorder="1" applyAlignment="1">
      <alignment horizontal="center" vertical="center" wrapText="1"/>
    </xf>
    <xf numFmtId="0" fontId="9" fillId="0" borderId="3" xfId="248" applyFont="1" applyFill="1" applyBorder="1" applyAlignment="1">
      <alignment horizontal="center" vertical="center" wrapText="1"/>
    </xf>
    <xf numFmtId="0" fontId="70" fillId="0" borderId="3" xfId="248" applyFont="1" applyFill="1" applyBorder="1" applyAlignment="1">
      <alignment horizontal="center" vertical="center" wrapText="1"/>
    </xf>
    <xf numFmtId="0" fontId="71" fillId="0" borderId="3" xfId="248" applyFont="1" applyFill="1" applyBorder="1" applyAlignment="1">
      <alignment horizontal="center" vertical="center" wrapText="1"/>
    </xf>
    <xf numFmtId="0" fontId="70" fillId="26" borderId="3" xfId="248" applyFont="1" applyFill="1" applyBorder="1" applyAlignment="1">
      <alignment horizontal="center" vertical="center" wrapText="1"/>
    </xf>
    <xf numFmtId="0" fontId="9" fillId="0" borderId="0" xfId="248" applyFont="1" applyFill="1" applyBorder="1" applyAlignment="1">
      <alignment horizontal="center" vertical="center"/>
    </xf>
    <xf numFmtId="171" fontId="85" fillId="0" borderId="3" xfId="248" applyNumberFormat="1" applyFont="1" applyFill="1" applyBorder="1" applyAlignment="1">
      <alignment horizontal="center" vertical="center" wrapText="1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Fill="1" applyBorder="1" applyAlignment="1">
      <alignment horizontal="left" wrapText="1"/>
    </xf>
    <xf numFmtId="171" fontId="6" fillId="0" borderId="0" xfId="0" applyNumberFormat="1" applyFont="1" applyFill="1" applyBorder="1" applyAlignment="1"/>
    <xf numFmtId="0" fontId="5" fillId="0" borderId="0" xfId="0" quotePrefix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 shrinkToFit="1"/>
    </xf>
    <xf numFmtId="0" fontId="5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26" borderId="3" xfId="0" applyFont="1" applyFill="1" applyBorder="1" applyAlignment="1">
      <alignment horizontal="left" vertical="center" wrapText="1"/>
    </xf>
    <xf numFmtId="0" fontId="5" fillId="26" borderId="3" xfId="0" applyFont="1" applyFill="1" applyBorder="1" applyAlignment="1">
      <alignment horizontal="center" vertical="center"/>
    </xf>
    <xf numFmtId="171" fontId="4" fillId="26" borderId="3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wrapText="1"/>
    </xf>
    <xf numFmtId="171" fontId="5" fillId="0" borderId="0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left" vertical="center" wrapText="1"/>
    </xf>
    <xf numFmtId="0" fontId="4" fillId="22" borderId="3" xfId="0" quotePrefix="1" applyNumberFormat="1" applyFont="1" applyFill="1" applyBorder="1" applyAlignment="1">
      <alignment horizontal="center" vertical="center" wrapText="1"/>
    </xf>
    <xf numFmtId="171" fontId="4" fillId="22" borderId="3" xfId="0" quotePrefix="1" applyNumberFormat="1" applyFont="1" applyFill="1" applyBorder="1" applyAlignment="1">
      <alignment horizontal="center" vertical="center" wrapText="1"/>
    </xf>
    <xf numFmtId="3" fontId="4" fillId="22" borderId="3" xfId="0" quotePrefix="1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/>
    <xf numFmtId="171" fontId="5" fillId="0" borderId="13" xfId="0" applyNumberFormat="1" applyFont="1" applyFill="1" applyBorder="1" applyAlignment="1">
      <alignment horizontal="center" wrapText="1"/>
    </xf>
    <xf numFmtId="171" fontId="71" fillId="22" borderId="3" xfId="0" quotePrefix="1" applyNumberFormat="1" applyFont="1" applyFill="1" applyBorder="1" applyAlignment="1">
      <alignment horizontal="center" vertical="center" wrapText="1"/>
    </xf>
    <xf numFmtId="3" fontId="71" fillId="0" borderId="3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/>
    </xf>
    <xf numFmtId="171" fontId="70" fillId="22" borderId="3" xfId="0" quotePrefix="1" applyNumberFormat="1" applyFont="1" applyFill="1" applyBorder="1" applyAlignment="1">
      <alignment horizontal="center" vertical="center" wrapText="1"/>
    </xf>
    <xf numFmtId="0" fontId="81" fillId="0" borderId="0" xfId="0" applyFont="1" applyFill="1"/>
    <xf numFmtId="0" fontId="9" fillId="0" borderId="18" xfId="240" applyNumberFormat="1" applyFont="1" applyFill="1" applyBorder="1" applyAlignment="1">
      <alignment horizontal="center" vertical="top" wrapText="1"/>
    </xf>
    <xf numFmtId="0" fontId="5" fillId="0" borderId="3" xfId="240" applyFont="1" applyFill="1" applyBorder="1" applyAlignment="1">
      <alignment horizontal="center" vertical="center"/>
    </xf>
    <xf numFmtId="0" fontId="5" fillId="0" borderId="3" xfId="240" applyNumberFormat="1" applyFont="1" applyFill="1" applyBorder="1" applyAlignment="1">
      <alignment horizontal="center" vertical="center" wrapText="1"/>
    </xf>
    <xf numFmtId="4" fontId="5" fillId="0" borderId="3" xfId="240" applyNumberFormat="1" applyFont="1" applyFill="1" applyBorder="1" applyAlignment="1">
      <alignment horizontal="center" vertical="center" wrapText="1"/>
    </xf>
    <xf numFmtId="0" fontId="5" fillId="0" borderId="3" xfId="240" applyNumberFormat="1" applyFont="1" applyFill="1" applyBorder="1" applyAlignment="1">
      <alignment horizontal="left" vertical="top" wrapText="1"/>
    </xf>
    <xf numFmtId="178" fontId="5" fillId="0" borderId="3" xfId="240" applyNumberFormat="1" applyFont="1" applyFill="1" applyBorder="1" applyAlignment="1">
      <alignment horizontal="center" vertical="center" wrapText="1"/>
    </xf>
    <xf numFmtId="49" fontId="9" fillId="0" borderId="3" xfId="240" applyNumberFormat="1" applyFont="1" applyFill="1" applyBorder="1" applyAlignment="1">
      <alignment horizontal="left" vertical="center" wrapText="1"/>
    </xf>
    <xf numFmtId="49" fontId="5" fillId="0" borderId="3" xfId="240" applyNumberFormat="1" applyFont="1" applyFill="1" applyBorder="1" applyAlignment="1">
      <alignment horizontal="left" vertical="center" wrapText="1"/>
    </xf>
    <xf numFmtId="0" fontId="5" fillId="0" borderId="3" xfId="240" applyNumberFormat="1" applyFont="1" applyFill="1" applyBorder="1" applyAlignment="1">
      <alignment horizontal="left" vertical="center" wrapText="1"/>
    </xf>
    <xf numFmtId="171" fontId="5" fillId="0" borderId="3" xfId="240" applyNumberFormat="1" applyFont="1" applyFill="1" applyBorder="1" applyAlignment="1">
      <alignment horizontal="center" vertical="center" wrapText="1"/>
    </xf>
    <xf numFmtId="4" fontId="5" fillId="0" borderId="3" xfId="240" applyNumberFormat="1" applyFont="1" applyFill="1" applyBorder="1" applyAlignment="1">
      <alignment horizontal="left" vertical="center" wrapText="1"/>
    </xf>
    <xf numFmtId="178" fontId="5" fillId="0" borderId="3" xfId="240" applyNumberFormat="1" applyFont="1" applyFill="1" applyBorder="1" applyAlignment="1">
      <alignment horizontal="left" vertical="center" wrapText="1"/>
    </xf>
    <xf numFmtId="171" fontId="4" fillId="0" borderId="0" xfId="0" quotePrefix="1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74" fillId="0" borderId="0" xfId="0" applyFont="1" applyFill="1"/>
    <xf numFmtId="0" fontId="9" fillId="0" borderId="3" xfId="0" applyFont="1" applyFill="1" applyBorder="1" applyAlignment="1">
      <alignment horizontal="center" vertical="top" wrapText="1"/>
    </xf>
    <xf numFmtId="171" fontId="9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1" fontId="70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71" fontId="69" fillId="0" borderId="0" xfId="0" applyNumberFormat="1" applyFont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center" wrapText="1" shrinkToFit="1"/>
    </xf>
    <xf numFmtId="0" fontId="83" fillId="0" borderId="3" xfId="0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49" fontId="9" fillId="0" borderId="3" xfId="0" applyNumberFormat="1" applyFont="1" applyFill="1" applyBorder="1" applyAlignment="1">
      <alignment horizontal="left" vertical="center" wrapText="1"/>
    </xf>
    <xf numFmtId="179" fontId="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/>
    </xf>
    <xf numFmtId="171" fontId="82" fillId="0" borderId="3" xfId="0" applyNumberFormat="1" applyFont="1" applyFill="1" applyBorder="1" applyAlignment="1">
      <alignment horizontal="center" vertical="center" wrapText="1"/>
    </xf>
    <xf numFmtId="49" fontId="81" fillId="0" borderId="14" xfId="0" applyNumberFormat="1" applyFont="1" applyFill="1" applyBorder="1" applyAlignment="1">
      <alignment horizontal="center" vertical="center" wrapText="1"/>
    </xf>
    <xf numFmtId="49" fontId="81" fillId="0" borderId="3" xfId="0" applyNumberFormat="1" applyFont="1" applyFill="1" applyBorder="1" applyAlignment="1">
      <alignment horizontal="center" vertical="center" wrapText="1"/>
    </xf>
    <xf numFmtId="171" fontId="81" fillId="0" borderId="3" xfId="0" applyNumberFormat="1" applyFont="1" applyFill="1" applyBorder="1" applyAlignment="1">
      <alignment horizontal="center" vertical="center" wrapText="1"/>
    </xf>
    <xf numFmtId="3" fontId="81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9" fillId="0" borderId="15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0" fontId="4" fillId="0" borderId="0" xfId="0" applyFont="1" applyFill="1" applyAlignment="1"/>
    <xf numFmtId="0" fontId="74" fillId="0" borderId="0" xfId="0" applyFont="1" applyFill="1" applyAlignment="1">
      <alignment vertical="center"/>
    </xf>
    <xf numFmtId="1" fontId="9" fillId="30" borderId="3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center" wrapText="1"/>
    </xf>
    <xf numFmtId="171" fontId="81" fillId="0" borderId="17" xfId="0" applyNumberFormat="1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top"/>
    </xf>
    <xf numFmtId="171" fontId="82" fillId="0" borderId="17" xfId="0" applyNumberFormat="1" applyFont="1" applyFill="1" applyBorder="1" applyAlignment="1">
      <alignment horizontal="center" vertical="center" wrapText="1"/>
    </xf>
    <xf numFmtId="171" fontId="9" fillId="0" borderId="17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0" fillId="0" borderId="0" xfId="0" applyFont="1" applyFill="1" applyBorder="1" applyAlignment="1">
      <alignment horizontal="left" wrapText="1"/>
    </xf>
    <xf numFmtId="171" fontId="5" fillId="0" borderId="3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3" fontId="9" fillId="0" borderId="3" xfId="0" applyNumberFormat="1" applyFont="1" applyFill="1" applyBorder="1" applyAlignment="1">
      <alignment horizontal="center" vertical="center" wrapText="1"/>
    </xf>
    <xf numFmtId="171" fontId="9" fillId="0" borderId="3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9" fillId="32" borderId="17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171" fontId="9" fillId="0" borderId="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71" fontId="86" fillId="0" borderId="3" xfId="0" applyNumberFormat="1" applyFont="1" applyFill="1" applyBorder="1" applyAlignment="1">
      <alignment horizontal="center" vertical="center" wrapText="1"/>
    </xf>
    <xf numFmtId="171" fontId="88" fillId="0" borderId="3" xfId="0" applyNumberFormat="1" applyFont="1" applyFill="1" applyBorder="1" applyAlignment="1">
      <alignment horizontal="center" vertical="center" wrapText="1"/>
    </xf>
    <xf numFmtId="171" fontId="87" fillId="0" borderId="3" xfId="0" applyNumberFormat="1" applyFont="1" applyFill="1" applyBorder="1" applyAlignment="1">
      <alignment horizontal="center" vertical="center" wrapText="1"/>
    </xf>
    <xf numFmtId="0" fontId="89" fillId="0" borderId="16" xfId="0" applyFont="1" applyFill="1" applyBorder="1" applyAlignment="1">
      <alignment vertical="center" wrapText="1"/>
    </xf>
    <xf numFmtId="171" fontId="86" fillId="0" borderId="3" xfId="248" applyNumberFormat="1" applyFont="1" applyFill="1" applyBorder="1" applyAlignment="1">
      <alignment horizontal="center" vertical="center" wrapText="1"/>
    </xf>
    <xf numFmtId="171" fontId="91" fillId="0" borderId="3" xfId="248" applyNumberFormat="1" applyFont="1" applyFill="1" applyBorder="1" applyAlignment="1">
      <alignment horizontal="center" vertical="center" wrapText="1"/>
    </xf>
    <xf numFmtId="171" fontId="89" fillId="26" borderId="3" xfId="0" applyNumberFormat="1" applyFont="1" applyFill="1" applyBorder="1" applyAlignment="1">
      <alignment horizontal="center" vertical="center" wrapText="1"/>
    </xf>
    <xf numFmtId="171" fontId="91" fillId="0" borderId="3" xfId="0" applyNumberFormat="1" applyFont="1" applyFill="1" applyBorder="1" applyAlignment="1">
      <alignment horizontal="center" vertical="center" wrapText="1"/>
    </xf>
    <xf numFmtId="171" fontId="90" fillId="0" borderId="24" xfId="0" applyNumberFormat="1" applyFont="1" applyFill="1" applyBorder="1" applyAlignment="1">
      <alignment horizontal="center" vertical="center"/>
    </xf>
    <xf numFmtId="171" fontId="90" fillId="0" borderId="14" xfId="0" applyNumberFormat="1" applyFont="1" applyFill="1" applyBorder="1" applyAlignment="1">
      <alignment horizontal="center" vertical="center"/>
    </xf>
    <xf numFmtId="171" fontId="9" fillId="0" borderId="17" xfId="0" applyNumberFormat="1" applyFont="1" applyFill="1" applyBorder="1" applyAlignment="1">
      <alignment horizontal="center" vertical="center" wrapText="1"/>
    </xf>
    <xf numFmtId="171" fontId="6" fillId="0" borderId="3" xfId="0" quotePrefix="1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171" fontId="92" fillId="0" borderId="17" xfId="0" applyNumberFormat="1" applyFont="1" applyFill="1" applyBorder="1" applyAlignment="1">
      <alignment vertical="center" wrapText="1"/>
    </xf>
    <xf numFmtId="171" fontId="70" fillId="0" borderId="17" xfId="0" applyNumberFormat="1" applyFont="1" applyFill="1" applyBorder="1" applyAlignment="1">
      <alignment horizontal="center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171" fontId="5" fillId="30" borderId="3" xfId="0" applyNumberFormat="1" applyFont="1" applyFill="1" applyBorder="1" applyAlignment="1">
      <alignment horizontal="center" vertical="center" wrapText="1"/>
    </xf>
    <xf numFmtId="171" fontId="9" fillId="0" borderId="3" xfId="0" applyNumberFormat="1" applyFont="1" applyFill="1" applyBorder="1" applyAlignment="1">
      <alignment horizontal="center" vertical="top" wrapText="1"/>
    </xf>
    <xf numFmtId="171" fontId="71" fillId="0" borderId="3" xfId="0" applyNumberFormat="1" applyFont="1" applyFill="1" applyBorder="1" applyAlignment="1">
      <alignment horizontal="center" vertical="top" wrapText="1"/>
    </xf>
    <xf numFmtId="171" fontId="9" fillId="30" borderId="3" xfId="0" applyNumberFormat="1" applyFont="1" applyFill="1" applyBorder="1" applyAlignment="1">
      <alignment horizontal="center" vertical="center" wrapText="1"/>
    </xf>
    <xf numFmtId="171" fontId="6" fillId="30" borderId="3" xfId="0" applyNumberFormat="1" applyFont="1" applyFill="1" applyBorder="1" applyAlignment="1">
      <alignment horizontal="center" vertical="center" wrapText="1"/>
    </xf>
    <xf numFmtId="0" fontId="71" fillId="0" borderId="3" xfId="0" quotePrefix="1" applyFont="1" applyFill="1" applyBorder="1" applyAlignment="1">
      <alignment horizontal="center" vertical="center" wrapText="1"/>
    </xf>
    <xf numFmtId="171" fontId="5" fillId="30" borderId="3" xfId="248" applyNumberFormat="1" applyFont="1" applyFill="1" applyBorder="1" applyAlignment="1">
      <alignment horizontal="center" vertical="center" wrapText="1"/>
    </xf>
    <xf numFmtId="171" fontId="5" fillId="0" borderId="18" xfId="0" quotePrefix="1" applyNumberFormat="1" applyFont="1" applyFill="1" applyBorder="1" applyAlignment="1">
      <alignment horizontal="center" vertical="center" wrapText="1"/>
    </xf>
    <xf numFmtId="171" fontId="5" fillId="0" borderId="18" xfId="0" applyNumberFormat="1" applyFont="1" applyFill="1" applyBorder="1" applyAlignment="1">
      <alignment horizontal="center" vertical="center" wrapText="1"/>
    </xf>
    <xf numFmtId="171" fontId="86" fillId="0" borderId="18" xfId="0" quotePrefix="1" applyNumberFormat="1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horizontal="left" vertical="top" wrapText="1"/>
    </xf>
    <xf numFmtId="0" fontId="5" fillId="31" borderId="3" xfId="0" applyFont="1" applyFill="1" applyBorder="1" applyAlignment="1">
      <alignment horizontal="left" vertical="center" wrapText="1"/>
    </xf>
    <xf numFmtId="170" fontId="5" fillId="31" borderId="3" xfId="0" applyNumberFormat="1" applyFont="1" applyFill="1" applyBorder="1" applyAlignment="1">
      <alignment horizontal="center" vertical="center" wrapText="1"/>
    </xf>
    <xf numFmtId="170" fontId="5" fillId="31" borderId="14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 shrinkToFit="1"/>
    </xf>
    <xf numFmtId="3" fontId="4" fillId="29" borderId="3" xfId="0" applyNumberFormat="1" applyFont="1" applyFill="1" applyBorder="1" applyAlignment="1">
      <alignment horizontal="center" vertical="center" wrapText="1"/>
    </xf>
    <xf numFmtId="171" fontId="9" fillId="0" borderId="3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171" fontId="98" fillId="0" borderId="3" xfId="0" applyNumberFormat="1" applyFont="1" applyFill="1" applyBorder="1" applyAlignment="1">
      <alignment horizontal="center" vertical="center" wrapText="1"/>
    </xf>
    <xf numFmtId="171" fontId="99" fillId="0" borderId="3" xfId="0" applyNumberFormat="1" applyFont="1" applyFill="1" applyBorder="1" applyAlignment="1">
      <alignment horizontal="center" vertical="center" wrapText="1"/>
    </xf>
    <xf numFmtId="171" fontId="100" fillId="0" borderId="3" xfId="0" applyNumberFormat="1" applyFont="1" applyFill="1" applyBorder="1" applyAlignment="1">
      <alignment horizontal="center" vertical="center" wrapText="1"/>
    </xf>
    <xf numFmtId="171" fontId="101" fillId="0" borderId="3" xfId="0" applyNumberFormat="1" applyFont="1" applyFill="1" applyBorder="1" applyAlignment="1">
      <alignment horizontal="center" vertical="center" wrapText="1"/>
    </xf>
    <xf numFmtId="171" fontId="102" fillId="0" borderId="3" xfId="0" applyNumberFormat="1" applyFont="1" applyFill="1" applyBorder="1" applyAlignment="1">
      <alignment horizontal="center" vertical="center" wrapText="1"/>
    </xf>
    <xf numFmtId="171" fontId="99" fillId="29" borderId="3" xfId="0" applyNumberFormat="1" applyFont="1" applyFill="1" applyBorder="1" applyAlignment="1">
      <alignment horizontal="center" vertical="center" wrapText="1"/>
    </xf>
    <xf numFmtId="171" fontId="102" fillId="0" borderId="3" xfId="0" quotePrefix="1" applyNumberFormat="1" applyFont="1" applyFill="1" applyBorder="1" applyAlignment="1">
      <alignment horizontal="center" vertical="center" wrapText="1"/>
    </xf>
    <xf numFmtId="0" fontId="0" fillId="30" borderId="0" xfId="0" applyFill="1"/>
    <xf numFmtId="171" fontId="71" fillId="3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171" fontId="9" fillId="0" borderId="3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30" borderId="3" xfId="0" applyNumberFormat="1" applyFont="1" applyFill="1" applyBorder="1" applyAlignment="1">
      <alignment horizontal="center" vertical="center" wrapText="1"/>
    </xf>
    <xf numFmtId="0" fontId="9" fillId="30" borderId="3" xfId="0" applyNumberFormat="1" applyFont="1" applyFill="1" applyBorder="1" applyAlignment="1">
      <alignment horizontal="center" vertical="center" wrapText="1"/>
    </xf>
    <xf numFmtId="171" fontId="0" fillId="0" borderId="0" xfId="0" applyNumberFormat="1" applyFont="1"/>
    <xf numFmtId="0" fontId="9" fillId="0" borderId="3" xfId="0" applyFont="1" applyFill="1" applyBorder="1" applyAlignment="1">
      <alignment horizontal="left" vertical="top" wrapText="1"/>
    </xf>
    <xf numFmtId="171" fontId="104" fillId="0" borderId="3" xfId="0" applyNumberFormat="1" applyFont="1" applyFill="1" applyBorder="1" applyAlignment="1">
      <alignment horizontal="center" vertical="center" wrapText="1"/>
    </xf>
    <xf numFmtId="171" fontId="92" fillId="0" borderId="3" xfId="0" applyNumberFormat="1" applyFont="1" applyFill="1" applyBorder="1" applyAlignment="1">
      <alignment horizontal="center" vertical="center" wrapText="1"/>
    </xf>
    <xf numFmtId="171" fontId="105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81" fillId="22" borderId="3" xfId="0" quotePrefix="1" applyNumberFormat="1" applyFont="1" applyFill="1" applyBorder="1" applyAlignment="1">
      <alignment horizontal="center" vertical="center" wrapText="1"/>
    </xf>
    <xf numFmtId="171" fontId="77" fillId="0" borderId="0" xfId="0" applyNumberFormat="1" applyFont="1" applyFill="1" applyBorder="1" applyAlignment="1"/>
    <xf numFmtId="171" fontId="107" fillId="0" borderId="0" xfId="0" applyNumberFormat="1" applyFont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171" fontId="5" fillId="0" borderId="16" xfId="0" applyNumberFormat="1" applyFont="1" applyFill="1" applyBorder="1" applyAlignment="1">
      <alignment vertical="center" wrapText="1"/>
    </xf>
    <xf numFmtId="171" fontId="108" fillId="0" borderId="0" xfId="0" applyNumberFormat="1" applyFont="1"/>
    <xf numFmtId="170" fontId="9" fillId="30" borderId="3" xfId="0" applyNumberFormat="1" applyFont="1" applyFill="1" applyBorder="1" applyAlignment="1">
      <alignment horizontal="center" vertical="center" wrapText="1"/>
    </xf>
    <xf numFmtId="178" fontId="110" fillId="0" borderId="0" xfId="0" applyNumberFormat="1" applyFont="1"/>
    <xf numFmtId="0" fontId="69" fillId="0" borderId="0" xfId="0" applyFont="1"/>
    <xf numFmtId="171" fontId="69" fillId="0" borderId="0" xfId="0" applyNumberFormat="1" applyFont="1"/>
    <xf numFmtId="171" fontId="9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 shrinkToFit="1"/>
    </xf>
    <xf numFmtId="0" fontId="81" fillId="0" borderId="0" xfId="0" applyFont="1" applyFill="1" applyBorder="1" applyAlignment="1">
      <alignment horizontal="left" vertical="top" wrapText="1"/>
    </xf>
    <xf numFmtId="3" fontId="81" fillId="0" borderId="0" xfId="0" quotePrefix="1" applyNumberFormat="1" applyFont="1" applyFill="1" applyBorder="1" applyAlignment="1">
      <alignment horizontal="left" vertical="top" wrapText="1"/>
    </xf>
    <xf numFmtId="3" fontId="81" fillId="0" borderId="0" xfId="0" applyNumberFormat="1" applyFont="1" applyFill="1" applyBorder="1" applyAlignment="1">
      <alignment horizontal="center" vertical="center" wrapText="1"/>
    </xf>
    <xf numFmtId="3" fontId="81" fillId="31" borderId="0" xfId="0" applyNumberFormat="1" applyFont="1" applyFill="1" applyBorder="1" applyAlignment="1">
      <alignment horizontal="left" vertical="center" wrapText="1"/>
    </xf>
    <xf numFmtId="3" fontId="103" fillId="0" borderId="0" xfId="0" applyNumberFormat="1" applyFont="1" applyFill="1" applyBorder="1" applyAlignment="1">
      <alignment horizontal="left" vertical="center" wrapText="1"/>
    </xf>
    <xf numFmtId="171" fontId="81" fillId="0" borderId="0" xfId="0" applyNumberFormat="1" applyFont="1" applyFill="1" applyBorder="1" applyAlignment="1">
      <alignment horizontal="left" vertical="center" wrapText="1"/>
    </xf>
    <xf numFmtId="3" fontId="81" fillId="0" borderId="0" xfId="0" applyNumberFormat="1" applyFont="1" applyFill="1" applyBorder="1" applyAlignment="1">
      <alignment horizontal="left" vertical="center" wrapText="1"/>
    </xf>
    <xf numFmtId="3" fontId="81" fillId="0" borderId="0" xfId="0" applyNumberFormat="1" applyFont="1" applyFill="1" applyBorder="1" applyAlignment="1">
      <alignment horizontal="left" vertical="top" wrapText="1"/>
    </xf>
    <xf numFmtId="3" fontId="9" fillId="30" borderId="0" xfId="0" applyNumberFormat="1" applyFont="1" applyFill="1" applyBorder="1" applyAlignment="1">
      <alignment horizontal="left" vertical="center" wrapText="1"/>
    </xf>
    <xf numFmtId="3" fontId="4" fillId="29" borderId="0" xfId="0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81" fillId="22" borderId="0" xfId="0" applyNumberFormat="1" applyFont="1" applyFill="1" applyBorder="1" applyAlignment="1">
      <alignment horizontal="left" vertical="center" wrapText="1"/>
    </xf>
    <xf numFmtId="171" fontId="71" fillId="0" borderId="0" xfId="0" applyNumberFormat="1" applyFont="1" applyFill="1" applyBorder="1" applyAlignment="1">
      <alignment horizontal="center" vertical="center" wrapText="1"/>
    </xf>
    <xf numFmtId="171" fontId="71" fillId="30" borderId="0" xfId="0" applyNumberFormat="1" applyFont="1" applyFill="1" applyBorder="1" applyAlignment="1">
      <alignment horizontal="center" vertical="center" wrapText="1"/>
    </xf>
    <xf numFmtId="171" fontId="4" fillId="29" borderId="0" xfId="0" applyNumberFormat="1" applyFont="1" applyFill="1" applyBorder="1" applyAlignment="1">
      <alignment horizontal="center" vertical="center" wrapText="1"/>
    </xf>
    <xf numFmtId="171" fontId="70" fillId="0" borderId="0" xfId="0" applyNumberFormat="1" applyFont="1" applyFill="1" applyBorder="1" applyAlignment="1">
      <alignment horizontal="center" vertical="center" wrapText="1"/>
    </xf>
    <xf numFmtId="171" fontId="75" fillId="29" borderId="0" xfId="0" applyNumberFormat="1" applyFont="1" applyFill="1" applyBorder="1" applyAlignment="1">
      <alignment horizontal="center" vertical="center" wrapText="1"/>
    </xf>
    <xf numFmtId="171" fontId="75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1" fontId="4" fillId="30" borderId="3" xfId="24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0" fontId="85" fillId="0" borderId="3" xfId="0" applyNumberFormat="1" applyFont="1" applyFill="1" applyBorder="1" applyAlignment="1">
      <alignment horizontal="center" vertical="center" wrapText="1"/>
    </xf>
    <xf numFmtId="171" fontId="85" fillId="0" borderId="3" xfId="0" applyNumberFormat="1" applyFont="1" applyFill="1" applyBorder="1" applyAlignment="1">
      <alignment horizontal="center" vertical="center" wrapText="1"/>
    </xf>
    <xf numFmtId="3" fontId="81" fillId="30" borderId="3" xfId="0" applyNumberFormat="1" applyFont="1" applyFill="1" applyBorder="1" applyAlignment="1">
      <alignment horizontal="left" vertical="center" wrapText="1"/>
    </xf>
    <xf numFmtId="171" fontId="92" fillId="0" borderId="3" xfId="0" quotePrefix="1" applyNumberFormat="1" applyFont="1" applyFill="1" applyBorder="1" applyAlignment="1">
      <alignment horizontal="center" vertical="center" wrapText="1"/>
    </xf>
    <xf numFmtId="171" fontId="111" fillId="0" borderId="3" xfId="0" applyNumberFormat="1" applyFont="1" applyFill="1" applyBorder="1" applyAlignment="1">
      <alignment horizontal="center" vertical="center" wrapText="1"/>
    </xf>
    <xf numFmtId="0" fontId="92" fillId="0" borderId="3" xfId="0" quotePrefix="1" applyFont="1" applyFill="1" applyBorder="1" applyAlignment="1">
      <alignment horizontal="center" vertical="center"/>
    </xf>
    <xf numFmtId="171" fontId="111" fillId="0" borderId="3" xfId="0" quotePrefix="1" applyNumberFormat="1" applyFont="1" applyFill="1" applyBorder="1" applyAlignment="1">
      <alignment horizontal="center" vertical="center" wrapText="1"/>
    </xf>
    <xf numFmtId="3" fontId="103" fillId="22" borderId="15" xfId="0" applyNumberFormat="1" applyFont="1" applyFill="1" applyBorder="1" applyAlignment="1">
      <alignment vertical="center" wrapText="1"/>
    </xf>
    <xf numFmtId="3" fontId="103" fillId="22" borderId="3" xfId="0" applyNumberFormat="1" applyFont="1" applyFill="1" applyBorder="1" applyAlignment="1">
      <alignment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171" fontId="5" fillId="33" borderId="0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70" fillId="0" borderId="3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top" wrapText="1"/>
    </xf>
    <xf numFmtId="0" fontId="76" fillId="0" borderId="15" xfId="0" applyFont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 horizontal="center" vertical="center" wrapText="1"/>
    </xf>
    <xf numFmtId="171" fontId="9" fillId="0" borderId="0" xfId="0" quotePrefix="1" applyNumberFormat="1" applyFont="1" applyFill="1" applyBorder="1" applyAlignment="1">
      <alignment horizontal="center" vertical="center" wrapText="1"/>
    </xf>
    <xf numFmtId="0" fontId="70" fillId="0" borderId="17" xfId="0" applyFont="1" applyFill="1" applyBorder="1" applyAlignment="1" applyProtection="1">
      <alignment horizontal="center"/>
      <protection locked="0"/>
    </xf>
    <xf numFmtId="0" fontId="70" fillId="0" borderId="16" xfId="0" applyFont="1" applyFill="1" applyBorder="1" applyAlignment="1" applyProtection="1">
      <alignment horizontal="center"/>
      <protection locked="0"/>
    </xf>
    <xf numFmtId="0" fontId="70" fillId="0" borderId="14" xfId="0" applyFont="1" applyFill="1" applyBorder="1" applyAlignment="1" applyProtection="1">
      <alignment horizontal="center"/>
      <protection locked="0"/>
    </xf>
    <xf numFmtId="0" fontId="70" fillId="0" borderId="15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1" fillId="0" borderId="18" xfId="0" applyFont="1" applyFill="1" applyBorder="1" applyAlignment="1">
      <alignment horizontal="left" vertical="top" wrapText="1"/>
    </xf>
    <xf numFmtId="0" fontId="81" fillId="0" borderId="20" xfId="0" applyFont="1" applyFill="1" applyBorder="1" applyAlignment="1">
      <alignment horizontal="left" vertical="top" wrapText="1"/>
    </xf>
    <xf numFmtId="0" fontId="81" fillId="0" borderId="15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top" wrapText="1" shrinkToFit="1"/>
    </xf>
    <xf numFmtId="0" fontId="9" fillId="0" borderId="21" xfId="0" applyFont="1" applyFill="1" applyBorder="1" applyAlignment="1">
      <alignment horizontal="center" vertical="top" wrapText="1" shrinkToFit="1"/>
    </xf>
    <xf numFmtId="3" fontId="103" fillId="0" borderId="18" xfId="0" applyNumberFormat="1" applyFont="1" applyFill="1" applyBorder="1" applyAlignment="1">
      <alignment horizontal="left" vertical="center" wrapText="1"/>
    </xf>
    <xf numFmtId="3" fontId="103" fillId="0" borderId="15" xfId="0" applyNumberFormat="1" applyFont="1" applyFill="1" applyBorder="1" applyAlignment="1">
      <alignment horizontal="left" vertical="center" wrapText="1"/>
    </xf>
    <xf numFmtId="3" fontId="81" fillId="22" borderId="18" xfId="0" applyNumberFormat="1" applyFont="1" applyFill="1" applyBorder="1" applyAlignment="1">
      <alignment horizontal="left" vertical="center" wrapText="1"/>
    </xf>
    <xf numFmtId="3" fontId="81" fillId="22" borderId="15" xfId="0" applyNumberFormat="1" applyFont="1" applyFill="1" applyBorder="1" applyAlignment="1">
      <alignment horizontal="left" vertical="center" wrapText="1"/>
    </xf>
    <xf numFmtId="3" fontId="103" fillId="0" borderId="18" xfId="0" applyNumberFormat="1" applyFont="1" applyFill="1" applyBorder="1" applyAlignment="1">
      <alignment horizontal="left" vertical="top" wrapText="1"/>
    </xf>
    <xf numFmtId="3" fontId="103" fillId="0" borderId="15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171" fontId="9" fillId="0" borderId="0" xfId="0" applyNumberFormat="1" applyFont="1" applyFill="1" applyBorder="1" applyAlignment="1">
      <alignment horizontal="left" vertical="center" wrapText="1"/>
    </xf>
    <xf numFmtId="0" fontId="70" fillId="0" borderId="23" xfId="0" applyFont="1" applyFill="1" applyBorder="1" applyAlignment="1">
      <alignment horizontal="center"/>
    </xf>
    <xf numFmtId="0" fontId="4" fillId="0" borderId="0" xfId="248" applyFont="1" applyFill="1" applyBorder="1" applyAlignment="1">
      <alignment horizontal="center" vertical="center"/>
    </xf>
    <xf numFmtId="0" fontId="9" fillId="0" borderId="18" xfId="248" applyFont="1" applyFill="1" applyBorder="1" applyAlignment="1">
      <alignment horizontal="center" vertical="top" wrapText="1"/>
    </xf>
    <xf numFmtId="0" fontId="9" fillId="0" borderId="15" xfId="248" applyFont="1" applyFill="1" applyBorder="1" applyAlignment="1">
      <alignment horizontal="center" vertical="top" wrapText="1"/>
    </xf>
    <xf numFmtId="0" fontId="4" fillId="0" borderId="3" xfId="248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top" wrapText="1" shrinkToFit="1"/>
    </xf>
    <xf numFmtId="0" fontId="5" fillId="0" borderId="21" xfId="0" applyFont="1" applyFill="1" applyBorder="1" applyAlignment="1">
      <alignment horizontal="center" vertical="top" wrapText="1" shrinkToFit="1"/>
    </xf>
    <xf numFmtId="0" fontId="5" fillId="0" borderId="3" xfId="248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1" fontId="5" fillId="0" borderId="0" xfId="0" applyNumberFormat="1" applyFont="1" applyFill="1" applyBorder="1" applyAlignment="1">
      <alignment horizontal="left" vertical="center" wrapText="1"/>
    </xf>
    <xf numFmtId="171" fontId="5" fillId="0" borderId="0" xfId="0" quotePrefix="1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5" fillId="0" borderId="18" xfId="248" applyFont="1" applyFill="1" applyBorder="1" applyAlignment="1">
      <alignment horizontal="center" vertical="top" wrapText="1"/>
    </xf>
    <xf numFmtId="0" fontId="5" fillId="0" borderId="15" xfId="248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 shrinkToFit="1"/>
    </xf>
    <xf numFmtId="0" fontId="5" fillId="0" borderId="15" xfId="0" applyFont="1" applyFill="1" applyBorder="1" applyAlignment="1">
      <alignment horizontal="center" vertical="top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74" fillId="0" borderId="3" xfId="0" applyFont="1" applyFill="1" applyBorder="1" applyAlignment="1">
      <alignment horizontal="center" vertical="top" wrapText="1" shrinkToFit="1"/>
    </xf>
    <xf numFmtId="0" fontId="5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top" wrapText="1"/>
    </xf>
    <xf numFmtId="0" fontId="69" fillId="0" borderId="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171" fontId="9" fillId="0" borderId="3" xfId="0" applyNumberFormat="1" applyFont="1" applyFill="1" applyBorder="1" applyAlignment="1">
      <alignment horizontal="center" vertical="center" wrapText="1"/>
    </xf>
    <xf numFmtId="171" fontId="69" fillId="0" borderId="3" xfId="0" applyNumberFormat="1" applyFont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3" xfId="0" applyFont="1" applyFill="1" applyBorder="1" applyAlignment="1">
      <alignment vertical="center"/>
    </xf>
    <xf numFmtId="0" fontId="6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top" wrapText="1"/>
    </xf>
    <xf numFmtId="0" fontId="69" fillId="0" borderId="3" xfId="0" applyFont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0" fontId="9" fillId="0" borderId="17" xfId="0" applyNumberFormat="1" applyFont="1" applyFill="1" applyBorder="1" applyAlignment="1">
      <alignment horizontal="center" vertical="center" wrapText="1"/>
    </xf>
    <xf numFmtId="170" fontId="9" fillId="0" borderId="14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30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/>
    </xf>
    <xf numFmtId="0" fontId="69" fillId="0" borderId="3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top" wrapText="1" shrinkToFit="1"/>
    </xf>
    <xf numFmtId="0" fontId="9" fillId="0" borderId="19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71" fillId="0" borderId="17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top" wrapText="1"/>
    </xf>
    <xf numFmtId="0" fontId="71" fillId="0" borderId="16" xfId="0" applyFont="1" applyFill="1" applyBorder="1" applyAlignment="1">
      <alignment horizontal="left" vertical="top" wrapText="1"/>
    </xf>
    <xf numFmtId="0" fontId="71" fillId="0" borderId="14" xfId="0" applyFont="1" applyFill="1" applyBorder="1" applyAlignment="1">
      <alignment horizontal="left" vertical="top" wrapText="1"/>
    </xf>
    <xf numFmtId="0" fontId="70" fillId="0" borderId="3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 vertical="top" wrapText="1"/>
    </xf>
    <xf numFmtId="0" fontId="74" fillId="0" borderId="0" xfId="0" applyFont="1" applyFill="1" applyBorder="1" applyAlignment="1">
      <alignment horizontal="center" vertical="center"/>
    </xf>
    <xf numFmtId="0" fontId="4" fillId="0" borderId="0" xfId="240" applyNumberFormat="1" applyFont="1" applyFill="1" applyBorder="1" applyAlignment="1">
      <alignment horizontal="center" vertical="center" wrapText="1"/>
    </xf>
    <xf numFmtId="0" fontId="4" fillId="0" borderId="17" xfId="24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7" xfId="240" applyFont="1" applyFill="1" applyBorder="1" applyAlignment="1">
      <alignment horizontal="left" vertical="center"/>
    </xf>
    <xf numFmtId="0" fontId="9" fillId="0" borderId="18" xfId="248" applyFont="1" applyFill="1" applyBorder="1" applyAlignment="1">
      <alignment horizontal="center" vertical="center" wrapText="1"/>
    </xf>
    <xf numFmtId="0" fontId="9" fillId="0" borderId="15" xfId="248" applyFont="1" applyFill="1" applyBorder="1" applyAlignment="1">
      <alignment horizontal="center" vertical="center" wrapText="1"/>
    </xf>
    <xf numFmtId="0" fontId="70" fillId="0" borderId="3" xfId="248" applyFont="1" applyFill="1" applyBorder="1" applyAlignment="1">
      <alignment horizontal="left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171" fontId="5" fillId="0" borderId="17" xfId="0" applyNumberFormat="1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69" fillId="0" borderId="24" xfId="0" applyFont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horizontal="center" vertical="center" wrapText="1" shrinkToFit="1"/>
    </xf>
    <xf numFmtId="0" fontId="69" fillId="0" borderId="21" xfId="0" applyFont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right" vertical="center"/>
    </xf>
    <xf numFmtId="171" fontId="0" fillId="0" borderId="14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171" fontId="5" fillId="0" borderId="0" xfId="0" quotePrefix="1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" xfId="211" builtinId="4"/>
    <cellStyle name="Денежный 2" xfId="212"/>
    <cellStyle name="Денежный 3" xfId="213"/>
    <cellStyle name="Заголовок 1 2" xfId="214"/>
    <cellStyle name="Заголовок 1 3" xfId="215"/>
    <cellStyle name="Заголовок 2 2" xfId="216"/>
    <cellStyle name="Заголовок 2 3" xfId="217"/>
    <cellStyle name="Заголовок 3 2" xfId="218"/>
    <cellStyle name="Заголовок 3 3" xfId="219"/>
    <cellStyle name="Заголовок 4 2" xfId="220"/>
    <cellStyle name="Заголовок 4 3" xfId="221"/>
    <cellStyle name="Итог 2" xfId="222"/>
    <cellStyle name="Итог 3" xfId="223"/>
    <cellStyle name="Контрольная ячейка 2" xfId="224"/>
    <cellStyle name="Контрольная ячейка 3" xfId="225"/>
    <cellStyle name="Название 2" xfId="226"/>
    <cellStyle name="Название 3" xfId="227"/>
    <cellStyle name="Нейтральный 2" xfId="228"/>
    <cellStyle name="Нейтральный 3" xfId="229"/>
    <cellStyle name="Обычный" xfId="0" builtinId="0"/>
    <cellStyle name="Обычный 10" xfId="230"/>
    <cellStyle name="Обычный 11" xfId="231"/>
    <cellStyle name="Обычный 12" xfId="232"/>
    <cellStyle name="Обычный 13" xfId="233"/>
    <cellStyle name="Обычный 14" xfId="234"/>
    <cellStyle name="Обычный 15" xfId="235"/>
    <cellStyle name="Обычный 16" xfId="236"/>
    <cellStyle name="Обычный 17" xfId="237"/>
    <cellStyle name="Обычный 18" xfId="238"/>
    <cellStyle name="Обычный 19" xfId="239"/>
    <cellStyle name="Обычный 2" xfId="240"/>
    <cellStyle name="Обычный 2 10" xfId="241"/>
    <cellStyle name="Обычный 2 11" xfId="242"/>
    <cellStyle name="Обычный 2 12" xfId="243"/>
    <cellStyle name="Обычный 2 13" xfId="244"/>
    <cellStyle name="Обычный 2 14" xfId="245"/>
    <cellStyle name="Обычный 2 15" xfId="246"/>
    <cellStyle name="Обычный 2 16" xfId="247"/>
    <cellStyle name="Обычный 2 2" xfId="248"/>
    <cellStyle name="Обычный 2 2 2" xfId="249"/>
    <cellStyle name="Обычный 2 2 3" xfId="250"/>
    <cellStyle name="Обычный 2 2_Расшифровка прочих" xfId="251"/>
    <cellStyle name="Обычный 2 3" xfId="252"/>
    <cellStyle name="Обычный 2 4" xfId="253"/>
    <cellStyle name="Обычный 2 5" xfId="254"/>
    <cellStyle name="Обычный 2 6" xfId="255"/>
    <cellStyle name="Обычный 2 7" xfId="256"/>
    <cellStyle name="Обычный 2 8" xfId="257"/>
    <cellStyle name="Обычный 2 9" xfId="258"/>
    <cellStyle name="Обычный 2_2604-2010" xfId="259"/>
    <cellStyle name="Обычный 3" xfId="260"/>
    <cellStyle name="Обычный 3 10" xfId="261"/>
    <cellStyle name="Обычный 3 11" xfId="262"/>
    <cellStyle name="Обычный 3 12" xfId="263"/>
    <cellStyle name="Обычный 3 13" xfId="264"/>
    <cellStyle name="Обычный 3 14" xfId="265"/>
    <cellStyle name="Обычный 3 2" xfId="266"/>
    <cellStyle name="Обычный 3 3" xfId="267"/>
    <cellStyle name="Обычный 3 4" xfId="268"/>
    <cellStyle name="Обычный 3 5" xfId="269"/>
    <cellStyle name="Обычный 3 6" xfId="270"/>
    <cellStyle name="Обычный 3 7" xfId="271"/>
    <cellStyle name="Обычный 3 8" xfId="272"/>
    <cellStyle name="Обычный 3 9" xfId="273"/>
    <cellStyle name="Обычный 3_Дефицит_7 млрд_0608_бс" xfId="274"/>
    <cellStyle name="Обычный 4" xfId="275"/>
    <cellStyle name="Обычный 5" xfId="276"/>
    <cellStyle name="Обычный 5 2" xfId="277"/>
    <cellStyle name="Обычный 6" xfId="278"/>
    <cellStyle name="Обычный 6 2" xfId="279"/>
    <cellStyle name="Обычный 6 3" xfId="280"/>
    <cellStyle name="Обычный 6 4" xfId="281"/>
    <cellStyle name="Обычный 6_Дефицит_7 млрд_0608_бс" xfId="282"/>
    <cellStyle name="Обычный 7" xfId="283"/>
    <cellStyle name="Обычный 7 2" xfId="284"/>
    <cellStyle name="Обычный 8" xfId="285"/>
    <cellStyle name="Обычный 9" xfId="286"/>
    <cellStyle name="Обычный 9 2" xfId="287"/>
    <cellStyle name="Плохой 2" xfId="288"/>
    <cellStyle name="Плохой 3" xfId="289"/>
    <cellStyle name="Пояснение 2" xfId="290"/>
    <cellStyle name="Пояснение 3" xfId="291"/>
    <cellStyle name="Примечание 2" xfId="292"/>
    <cellStyle name="Примечание 3" xfId="293"/>
    <cellStyle name="Процентный 2" xfId="294"/>
    <cellStyle name="Процентный 2 10" xfId="295"/>
    <cellStyle name="Процентный 2 11" xfId="296"/>
    <cellStyle name="Процентный 2 12" xfId="297"/>
    <cellStyle name="Процентный 2 13" xfId="298"/>
    <cellStyle name="Процентный 2 14" xfId="299"/>
    <cellStyle name="Процентный 2 15" xfId="300"/>
    <cellStyle name="Процентный 2 16" xfId="301"/>
    <cellStyle name="Процентный 2 2" xfId="302"/>
    <cellStyle name="Процентный 2 3" xfId="303"/>
    <cellStyle name="Процентный 2 4" xfId="304"/>
    <cellStyle name="Процентный 2 5" xfId="305"/>
    <cellStyle name="Процентный 2 6" xfId="306"/>
    <cellStyle name="Процентный 2 7" xfId="307"/>
    <cellStyle name="Процентный 2 8" xfId="308"/>
    <cellStyle name="Процентный 2 9" xfId="309"/>
    <cellStyle name="Процентный 3" xfId="310"/>
    <cellStyle name="Процентный 4" xfId="311"/>
    <cellStyle name="Процентный 4 2" xfId="312"/>
    <cellStyle name="Связанная ячейка 2" xfId="313"/>
    <cellStyle name="Связанная ячейка 3" xfId="314"/>
    <cellStyle name="Стиль 1" xfId="315"/>
    <cellStyle name="Стиль 1 2" xfId="316"/>
    <cellStyle name="Стиль 1 3" xfId="317"/>
    <cellStyle name="Стиль 1 4" xfId="318"/>
    <cellStyle name="Стиль 1 5" xfId="319"/>
    <cellStyle name="Стиль 1 6" xfId="320"/>
    <cellStyle name="Стиль 1 7" xfId="321"/>
    <cellStyle name="Текст предупреждения 2" xfId="322"/>
    <cellStyle name="Текст предупреждения 3" xfId="323"/>
    <cellStyle name="Тысячи [0]_1.62" xfId="324"/>
    <cellStyle name="Тысячи_1.62" xfId="325"/>
    <cellStyle name="Финансовый 2" xfId="326"/>
    <cellStyle name="Финансовый 2 10" xfId="327"/>
    <cellStyle name="Финансовый 2 11" xfId="328"/>
    <cellStyle name="Финансовый 2 12" xfId="329"/>
    <cellStyle name="Финансовый 2 13" xfId="330"/>
    <cellStyle name="Финансовый 2 14" xfId="331"/>
    <cellStyle name="Финансовый 2 15" xfId="332"/>
    <cellStyle name="Финансовый 2 16" xfId="333"/>
    <cellStyle name="Финансовый 2 17" xfId="334"/>
    <cellStyle name="Финансовый 2 2" xfId="335"/>
    <cellStyle name="Финансовый 2 3" xfId="336"/>
    <cellStyle name="Финансовый 2 4" xfId="337"/>
    <cellStyle name="Финансовый 2 5" xfId="338"/>
    <cellStyle name="Финансовый 2 6" xfId="339"/>
    <cellStyle name="Финансовый 2 7" xfId="340"/>
    <cellStyle name="Финансовый 2 8" xfId="341"/>
    <cellStyle name="Финансовый 2 9" xfId="342"/>
    <cellStyle name="Финансовый 3" xfId="343"/>
    <cellStyle name="Финансовый 3 2" xfId="344"/>
    <cellStyle name="Финансовый 4" xfId="345"/>
    <cellStyle name="Финансовый 4 2" xfId="346"/>
    <cellStyle name="Финансовый 4 3" xfId="347"/>
    <cellStyle name="Финансовый 5" xfId="348"/>
    <cellStyle name="Финансовый 6" xfId="349"/>
    <cellStyle name="Финансовый 7" xfId="350"/>
    <cellStyle name="Хороший 2" xfId="351"/>
    <cellStyle name="Хороший 3" xfId="352"/>
    <cellStyle name="числовой" xfId="353"/>
    <cellStyle name="Ю" xfId="354"/>
    <cellStyle name="Ю-FreeSet_10" xfId="3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/>
              <a:t>Дохід від реалізації продукції (товарів, робіт, послуг) за 2019 рік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5279199475065616"/>
                  <c:y val="-0.27757072032662583"/>
                </c:manualLayout>
              </c:layout>
              <c:tx>
                <c:rich>
                  <a:bodyPr/>
                  <a:lstStyle/>
                  <a:p>
                    <a:pPr>
                      <a:defRPr i="1"/>
                    </a:pPr>
                    <a:r>
                      <a:rPr lang="uk-UA" i="1"/>
                      <a:t>від комерційної діяльності  </a:t>
                    </a:r>
                    <a:r>
                      <a:rPr lang="en-US" i="1"/>
                      <a:t>76%</a:t>
                    </a:r>
                  </a:p>
                </c:rich>
              </c:tx>
              <c:spPr>
                <a:solidFill>
                  <a:schemeClr val="bg2">
                    <a:lumMod val="90000"/>
                  </a:schemeClr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7888013998250211E-2"/>
                  <c:y val="3.4003718285214347E-2"/>
                </c:manualLayout>
              </c:layout>
              <c:tx>
                <c:rich>
                  <a:bodyPr/>
                  <a:lstStyle/>
                  <a:p>
                    <a:pPr>
                      <a:defRPr i="1"/>
                    </a:pPr>
                    <a:r>
                      <a:rPr lang="uk-UA" i="1"/>
                      <a:t>від місцевого бюджету </a:t>
                    </a:r>
                  </a:p>
                  <a:p>
                    <a:pPr>
                      <a:defRPr i="1"/>
                    </a:pPr>
                    <a:r>
                      <a:rPr lang="en-US" i="1"/>
                      <a:t>24%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Лист1!$B$4:$B$5</c:f>
              <c:strCache>
                <c:ptCount val="2"/>
                <c:pt idx="0">
                  <c:v>від комерційної діяльності</c:v>
                </c:pt>
                <c:pt idx="1">
                  <c:v>від місцевого бюджету</c:v>
                </c:pt>
              </c:strCache>
            </c:strRef>
          </c:cat>
          <c:val>
            <c:numRef>
              <c:f>Лист1!$D$4:$D$5</c:f>
              <c:numCache>
                <c:formatCode>0.00</c:formatCode>
                <c:ptCount val="2"/>
                <c:pt idx="0">
                  <c:v>75.599999999999994</c:v>
                </c:pt>
                <c:pt idx="1">
                  <c:v>24.4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uk-UA" sz="1200"/>
              <a:t>Структура фактичних витрат основної діяльності за 2019 рік, тис.грн.,%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8593207006394238"/>
                  <c:y val="-0.35945436159875999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Собівартість реалізованої продукції (товарів, робіт, послуг); </a:t>
                    </a:r>
                  </a:p>
                  <a:p>
                    <a:r>
                      <a:rPr lang="uk-UA"/>
                      <a:t>16 139,0тис.грн.; 83%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054381332897186"/>
                  <c:y val="0.1571394512197696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Адміністративні витрати; 2 579,0тис.грн.; 13%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6633394861250653"/>
                  <c:y val="8.6226323240003525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Витрати на збут; 808,9тис.грн.; 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7903222037898113E-2"/>
                  <c:y val="-1.7542249714091326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Інші операційні витрати ; 65,0тис.грн; 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9722968605185479"/>
                  <c:y val="3.5635319403372424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Витрати  з податку на прибуток; 8,1 тис.грн.; 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Лист1!$B$9:$B$13</c:f>
              <c:strCache>
                <c:ptCount val="5"/>
                <c:pt idx="0">
                  <c:v>Собівартість реалізованої продукції (товарів, робіт, послуг)</c:v>
                </c:pt>
                <c:pt idx="1">
                  <c:v>Адміністративні витрати</c:v>
                </c:pt>
                <c:pt idx="2">
                  <c:v>Витрати на збут</c:v>
                </c:pt>
                <c:pt idx="3">
                  <c:v>Інші операційні витрати </c:v>
                </c:pt>
                <c:pt idx="4">
                  <c:v>Витрати  з податку на прибуток</c:v>
                </c:pt>
              </c:strCache>
            </c:strRef>
          </c:cat>
          <c:val>
            <c:numRef>
              <c:f>Лист1!$C$9:$C$13</c:f>
              <c:numCache>
                <c:formatCode>#,##0.0</c:formatCode>
                <c:ptCount val="5"/>
                <c:pt idx="0">
                  <c:v>16139</c:v>
                </c:pt>
                <c:pt idx="1">
                  <c:v>2578.9670535999999</c:v>
                </c:pt>
                <c:pt idx="2" formatCode="General">
                  <c:v>808.9</c:v>
                </c:pt>
                <c:pt idx="3">
                  <c:v>65</c:v>
                </c:pt>
                <c:pt idx="4">
                  <c:v>8.123930352000027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Елементи операційних витрат</a:t>
            </a:r>
          </a:p>
          <a:p>
            <a:pPr>
              <a:defRPr/>
            </a:pPr>
            <a:r>
              <a:rPr lang="uk-UA"/>
              <a:t> у   2019 році,  тис.грн.,%</a:t>
            </a:r>
          </a:p>
        </c:rich>
      </c:tx>
      <c:layout>
        <c:manualLayout>
          <c:xMode val="edge"/>
          <c:yMode val="edge"/>
          <c:x val="5.0816281193690915E-2"/>
          <c:y val="2.4489771612794985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1.145689860867705E-2"/>
                  <c:y val="1.2228186293039435E-2"/>
                </c:manualLayout>
              </c:layout>
              <c:tx>
                <c:rich>
                  <a:bodyPr/>
                  <a:lstStyle/>
                  <a:p>
                    <a:r>
                      <a:rPr lang="uk-UA" b="1" i="1"/>
                      <a:t>Матеріальні витрати; </a:t>
                    </a:r>
                  </a:p>
                  <a:p>
                    <a:r>
                      <a:rPr lang="uk-UA" b="1" i="1"/>
                      <a:t>6 519,3тис.грн.; 33%</a:t>
                    </a:r>
                    <a:endParaRPr lang="uk-UA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uk-UA" b="1" i="1"/>
                      <a:t>Витрати на оплату праці;</a:t>
                    </a:r>
                  </a:p>
                  <a:p>
                    <a:r>
                      <a:rPr lang="uk-UA" b="1" i="1"/>
                      <a:t> 9 623,0тис.грн.; 49%</a:t>
                    </a:r>
                    <a:endParaRPr lang="uk-UA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2417742453039766E-2"/>
                  <c:y val="5.2269217903535323E-2"/>
                </c:manualLayout>
              </c:layout>
              <c:tx>
                <c:rich>
                  <a:bodyPr/>
                  <a:lstStyle/>
                  <a:p>
                    <a:r>
                      <a:rPr lang="uk-UA" b="1" i="1"/>
                      <a:t>Відрахування на соціальні заходи;</a:t>
                    </a:r>
                  </a:p>
                  <a:p>
                    <a:r>
                      <a:rPr lang="uk-UA" b="1" i="1"/>
                      <a:t> 2 053,0тис.грн.; 11%</a:t>
                    </a:r>
                    <a:endParaRPr lang="uk-UA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uk-UA" b="1" i="1"/>
                      <a:t>Амортизація; 207,0тис.грн.; 1%</a:t>
                    </a:r>
                    <a:endParaRPr lang="uk-UA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9396374826187479"/>
                  <c:y val="1.3984094813881982E-2"/>
                </c:manualLayout>
              </c:layout>
              <c:tx>
                <c:rich>
                  <a:bodyPr/>
                  <a:lstStyle/>
                  <a:p>
                    <a:r>
                      <a:rPr lang="uk-UA" b="1" i="1"/>
                      <a:t>Інші операційні витрати; 1189,6тис.грн.; 6%</a:t>
                    </a:r>
                    <a:endParaRPr lang="uk-UA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Лист1!$B$15:$B$19</c:f>
              <c:strCache>
                <c:ptCount val="5"/>
                <c:pt idx="0">
                  <c:v>Матеріальні витрати</c:v>
                </c:pt>
                <c:pt idx="1">
                  <c:v>Витрати на оплату праці</c:v>
                </c:pt>
                <c:pt idx="2">
                  <c:v>Відрахування на соціальні заходи</c:v>
                </c:pt>
                <c:pt idx="3">
                  <c:v>Амортизація</c:v>
                </c:pt>
                <c:pt idx="4">
                  <c:v>Інші операційні витрати</c:v>
                </c:pt>
              </c:strCache>
            </c:strRef>
          </c:cat>
          <c:val>
            <c:numRef>
              <c:f>Лист1!$C$15:$C$19</c:f>
              <c:numCache>
                <c:formatCode>#,##0.0</c:formatCode>
                <c:ptCount val="5"/>
                <c:pt idx="0">
                  <c:v>6519.3000000000011</c:v>
                </c:pt>
                <c:pt idx="1">
                  <c:v>9622.9598799999985</c:v>
                </c:pt>
                <c:pt idx="2">
                  <c:v>2053.0071736</c:v>
                </c:pt>
                <c:pt idx="3" formatCode="General">
                  <c:v>206.99999999999997</c:v>
                </c:pt>
                <c:pt idx="4" formatCode="General">
                  <c:v>1189.6000000000001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</xdr:row>
      <xdr:rowOff>90487</xdr:rowOff>
    </xdr:from>
    <xdr:to>
      <xdr:col>13</xdr:col>
      <xdr:colOff>390525</xdr:colOff>
      <xdr:row>11</xdr:row>
      <xdr:rowOff>128587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13</xdr:row>
      <xdr:rowOff>233361</xdr:rowOff>
    </xdr:from>
    <xdr:to>
      <xdr:col>16</xdr:col>
      <xdr:colOff>161925</xdr:colOff>
      <xdr:row>40</xdr:row>
      <xdr:rowOff>57149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314325</xdr:colOff>
      <xdr:row>34</xdr:row>
      <xdr:rowOff>157162</xdr:rowOff>
    </xdr:from>
    <xdr:to>
      <xdr:col>6</xdr:col>
      <xdr:colOff>238125</xdr:colOff>
      <xdr:row>58</xdr:row>
      <xdr:rowOff>133350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%20&#1087;&#1088;&#1086;%20&#1074;&#1080;&#1082;.%20&#1092;&#1110;&#1085;.&#1087;&#1083;&#1072;&#1085;&#1091;%20&#1079;&#1072;%20%202018&#1088;&#1110;&#108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0;&#1055;%20&#1092;&#1110;&#1085;&#1087;&#1083;&#1072;&#1085;/&#1060;&#1110;&#1085;&#1087;&#1083;&#1072;&#1085;%20&#1050;&#1050;&#1055;/&#1060;&#1030;&#1085;&#1087;&#1083;&#1072;&#1085;%202019/&#1060;&#1110;&#1085;&#1087;&#1083;&#1072;&#1085;%20%20&#8470;2%20&#1079;&#1084;&#1110;&#1085;&#1080;%20&#1085;&#1072;%202019&#1088;&#1110;&#1082;&#1052;&#1042;&#1050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0;&#1082;&#1086;&#1085;&#1072;&#1085;&#1085;&#1103;%20&#1092;&#1110;&#1085;&#1087;&#1083;&#1072;&#1085;%20%209&#1084;&#1110;&#1089;%202019&#108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Звіт по фінплану - зведені"/>
      <sheetName val="1.Фінансовий результат"/>
      <sheetName val="2. Розрахунки з бюджетом"/>
      <sheetName val="3. Рух грошових коштів"/>
      <sheetName val="4. Кап. інвестиції"/>
      <sheetName val="5. Інша інформація"/>
      <sheetName val=" 6. Коефіцієнти"/>
    </sheetNames>
    <sheetDataSet>
      <sheetData sheetId="0" refreshError="1"/>
      <sheetData sheetId="1" refreshError="1">
        <row r="14">
          <cell r="B14">
            <v>1040</v>
          </cell>
        </row>
        <row r="15">
          <cell r="B15">
            <v>1050</v>
          </cell>
        </row>
        <row r="30">
          <cell r="B30">
            <v>1060</v>
          </cell>
        </row>
        <row r="31">
          <cell r="B31">
            <v>1070</v>
          </cell>
        </row>
        <row r="32">
          <cell r="B32">
            <v>1080</v>
          </cell>
        </row>
        <row r="62">
          <cell r="B62">
            <v>1110</v>
          </cell>
        </row>
        <row r="79">
          <cell r="B79">
            <v>1120</v>
          </cell>
        </row>
        <row r="87">
          <cell r="B87">
            <v>1130</v>
          </cell>
        </row>
        <row r="88">
          <cell r="B88">
            <v>1140</v>
          </cell>
        </row>
        <row r="89">
          <cell r="B89">
            <v>1150</v>
          </cell>
        </row>
        <row r="90">
          <cell r="B90">
            <v>1160</v>
          </cell>
        </row>
        <row r="91">
          <cell r="B91">
            <v>1170</v>
          </cell>
        </row>
        <row r="92">
          <cell r="B92">
            <v>1200</v>
          </cell>
        </row>
        <row r="93">
          <cell r="B93">
            <v>1210</v>
          </cell>
        </row>
        <row r="95">
          <cell r="B95">
            <v>1230</v>
          </cell>
        </row>
      </sheetData>
      <sheetData sheetId="2" refreshError="1">
        <row r="19">
          <cell r="B19">
            <v>2100</v>
          </cell>
        </row>
        <row r="20">
          <cell r="B20">
            <v>2110</v>
          </cell>
        </row>
        <row r="21">
          <cell r="B21">
            <v>2120</v>
          </cell>
        </row>
        <row r="22">
          <cell r="B22">
            <v>2130</v>
          </cell>
        </row>
        <row r="23">
          <cell r="B23">
            <v>2140</v>
          </cell>
        </row>
        <row r="38">
          <cell r="B38">
            <v>2150</v>
          </cell>
        </row>
        <row r="39">
          <cell r="B39">
            <v>2200</v>
          </cell>
        </row>
      </sheetData>
      <sheetData sheetId="3" refreshError="1">
        <row r="27">
          <cell r="B27">
            <v>3090</v>
          </cell>
          <cell r="C27">
            <v>22.899999999999793</v>
          </cell>
        </row>
        <row r="72">
          <cell r="C72">
            <v>60</v>
          </cell>
        </row>
        <row r="74">
          <cell r="E74">
            <v>365.1</v>
          </cell>
          <cell r="F74">
            <v>540.4101326899879</v>
          </cell>
        </row>
      </sheetData>
      <sheetData sheetId="4" refreshError="1">
        <row r="7">
          <cell r="B7">
            <v>4000</v>
          </cell>
        </row>
      </sheetData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3. Рух грошових коштів"/>
      <sheetName val="4. Кап. інвестиції"/>
      <sheetName val="5. Інша інформація"/>
    </sheetNames>
    <sheetDataSet>
      <sheetData sheetId="0"/>
      <sheetData sheetId="1">
        <row r="86">
          <cell r="G86">
            <v>16</v>
          </cell>
          <cell r="H86">
            <v>16.14</v>
          </cell>
          <cell r="I86">
            <v>16</v>
          </cell>
          <cell r="J86">
            <v>16.100000000000001</v>
          </cell>
        </row>
        <row r="87">
          <cell r="G87">
            <v>0.3</v>
          </cell>
          <cell r="H87">
            <v>0.3</v>
          </cell>
          <cell r="I87">
            <v>0.3</v>
          </cell>
          <cell r="J87">
            <v>0.3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96">
          <cell r="G96">
            <v>2.8</v>
          </cell>
          <cell r="H96">
            <v>2.2000000000000002</v>
          </cell>
          <cell r="I96">
            <v>1.2</v>
          </cell>
          <cell r="J96">
            <v>1</v>
          </cell>
        </row>
        <row r="106">
          <cell r="G106">
            <v>2133.6999999999998</v>
          </cell>
          <cell r="H106">
            <v>2264.3000000000002</v>
          </cell>
          <cell r="I106">
            <v>2619.5</v>
          </cell>
          <cell r="J106">
            <v>2969.6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Фінплан-зведені показники"/>
      <sheetName val="0.1.Фінплан - зведені показники"/>
      <sheetName val="1.Фінансовий результат"/>
      <sheetName val="2.Розрахунки з бюджетом"/>
      <sheetName val="3.Рух грошових коштів"/>
      <sheetName val="4.Кап. інвестиції"/>
      <sheetName val="5. Інша інформація"/>
      <sheetName val="6. Кофіцієнти"/>
      <sheetName val="1.1.Фінансовий результат"/>
      <sheetName val="2.1Розрахунки з бюджетом"/>
      <sheetName val="3.1.Рух грошових коштів"/>
      <sheetName val="4.1.Кап. інвестиції"/>
      <sheetName val="5.1. Інша інформаці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F13">
            <v>18975.39</v>
          </cell>
          <cell r="G13">
            <v>4057</v>
          </cell>
          <cell r="H13">
            <v>4648.3999999999996</v>
          </cell>
          <cell r="I13">
            <v>4932.3999999999996</v>
          </cell>
          <cell r="J13">
            <v>5337.59</v>
          </cell>
        </row>
        <row r="39">
          <cell r="F39">
            <v>1940.2829999999999</v>
          </cell>
        </row>
        <row r="85">
          <cell r="F85">
            <v>0</v>
          </cell>
        </row>
        <row r="86">
          <cell r="F86">
            <v>64.240000000000009</v>
          </cell>
        </row>
        <row r="87">
          <cell r="F87">
            <v>1.2</v>
          </cell>
        </row>
        <row r="96">
          <cell r="F96">
            <v>7.1821750000000719</v>
          </cell>
          <cell r="G96">
            <v>2.8440000000000856</v>
          </cell>
          <cell r="H96">
            <v>2.2000000000000002</v>
          </cell>
          <cell r="I96">
            <v>1.1645999999999506</v>
          </cell>
          <cell r="J96">
            <v>0.97357500000003605</v>
          </cell>
        </row>
        <row r="98">
          <cell r="F98">
            <v>29.656574999999727</v>
          </cell>
          <cell r="G98">
            <v>12.95600000000039</v>
          </cell>
          <cell r="H98">
            <v>6.959999999999396</v>
          </cell>
          <cell r="I98">
            <v>5.305399999999775</v>
          </cell>
          <cell r="J98">
            <v>4.4351750000001644</v>
          </cell>
        </row>
        <row r="100">
          <cell r="F100">
            <v>18975.39</v>
          </cell>
          <cell r="G100">
            <v>4057</v>
          </cell>
          <cell r="H100">
            <v>4648.3999999999996</v>
          </cell>
          <cell r="I100">
            <v>4932.3999999999996</v>
          </cell>
          <cell r="J100">
            <v>5337.59</v>
          </cell>
        </row>
        <row r="106">
          <cell r="F106">
            <v>9987.0829999999987</v>
          </cell>
          <cell r="G106">
            <v>2133.6999999999998</v>
          </cell>
          <cell r="H106">
            <v>2264.3000000000002</v>
          </cell>
          <cell r="I106">
            <v>2619.471</v>
          </cell>
          <cell r="J106">
            <v>2969.6120000000001</v>
          </cell>
        </row>
        <row r="107">
          <cell r="F107">
            <v>2163.6166400000002</v>
          </cell>
          <cell r="G107">
            <v>453.2</v>
          </cell>
          <cell r="H107">
            <v>480.8</v>
          </cell>
          <cell r="I107">
            <v>577</v>
          </cell>
          <cell r="J107">
            <v>652.61663999999996</v>
          </cell>
        </row>
      </sheetData>
      <sheetData sheetId="9">
        <row r="20">
          <cell r="F20">
            <v>58</v>
          </cell>
          <cell r="G20">
            <v>22</v>
          </cell>
          <cell r="H20">
            <v>26</v>
          </cell>
          <cell r="I20">
            <v>5</v>
          </cell>
          <cell r="J20">
            <v>5</v>
          </cell>
        </row>
        <row r="22">
          <cell r="F22">
            <v>2003.3400000000001</v>
          </cell>
          <cell r="G22">
            <v>474.6</v>
          </cell>
          <cell r="H22">
            <v>465.24</v>
          </cell>
          <cell r="I22">
            <v>528.20000000000005</v>
          </cell>
          <cell r="J22">
            <v>535.29999999999995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8"/>
  <sheetViews>
    <sheetView view="pageBreakPreview" topLeftCell="A18" zoomScale="60" zoomScaleNormal="100" workbookViewId="0">
      <selection activeCell="D42" sqref="D42"/>
    </sheetView>
  </sheetViews>
  <sheetFormatPr defaultRowHeight="18.75" outlineLevelRow="1"/>
  <cols>
    <col min="1" max="1" width="51.42578125" style="244" customWidth="1"/>
    <col min="2" max="2" width="9.140625" style="21"/>
    <col min="3" max="3" width="11.28515625" style="244" customWidth="1"/>
    <col min="4" max="4" width="11.85546875" style="244" customWidth="1"/>
    <col min="5" max="5" width="13.7109375" style="244" customWidth="1"/>
    <col min="6" max="6" width="13" style="244" customWidth="1"/>
  </cols>
  <sheetData>
    <row r="1" spans="1:6" hidden="1" outlineLevel="1">
      <c r="B1" s="244"/>
    </row>
    <row r="2" spans="1:6" hidden="1" outlineLevel="1">
      <c r="B2" s="244"/>
    </row>
    <row r="3" spans="1:6" collapsed="1">
      <c r="B3" s="244"/>
    </row>
    <row r="4" spans="1:6">
      <c r="A4" s="550" t="s">
        <v>439</v>
      </c>
      <c r="B4" s="550"/>
      <c r="C4" s="550"/>
      <c r="D4" s="550"/>
      <c r="E4" s="550"/>
      <c r="F4" s="550"/>
    </row>
    <row r="5" spans="1:6">
      <c r="A5" s="550" t="s">
        <v>547</v>
      </c>
      <c r="B5" s="550"/>
      <c r="C5" s="550"/>
      <c r="D5" s="550"/>
      <c r="E5" s="550"/>
      <c r="F5" s="550"/>
    </row>
    <row r="6" spans="1:6" ht="20.25">
      <c r="A6" s="551" t="s">
        <v>440</v>
      </c>
      <c r="B6" s="551"/>
      <c r="C6" s="551"/>
      <c r="D6" s="551"/>
      <c r="E6" s="551"/>
      <c r="F6" s="551"/>
    </row>
    <row r="7" spans="1:6">
      <c r="A7" s="550" t="s">
        <v>532</v>
      </c>
      <c r="B7" s="550"/>
      <c r="C7" s="550"/>
      <c r="D7" s="550"/>
      <c r="E7" s="550"/>
      <c r="F7" s="550"/>
    </row>
    <row r="8" spans="1:6" ht="6" customHeight="1">
      <c r="A8" s="238"/>
      <c r="B8" s="238"/>
      <c r="C8" s="238"/>
      <c r="D8" s="238"/>
      <c r="E8" s="238"/>
      <c r="F8" s="238"/>
    </row>
    <row r="9" spans="1:6">
      <c r="A9" s="550" t="s">
        <v>159</v>
      </c>
      <c r="B9" s="550"/>
      <c r="C9" s="550"/>
      <c r="D9" s="550"/>
      <c r="E9" s="550"/>
      <c r="F9" s="550"/>
    </row>
    <row r="10" spans="1:6">
      <c r="B10" s="23"/>
      <c r="C10" s="23"/>
      <c r="D10" s="23"/>
      <c r="E10" s="23"/>
      <c r="F10" s="23"/>
    </row>
    <row r="11" spans="1:6">
      <c r="A11" s="545" t="s">
        <v>186</v>
      </c>
      <c r="B11" s="546" t="s">
        <v>5</v>
      </c>
      <c r="C11" s="548" t="s">
        <v>416</v>
      </c>
      <c r="D11" s="549"/>
      <c r="E11" s="549"/>
      <c r="F11" s="549"/>
    </row>
    <row r="12" spans="1:6" ht="37.5">
      <c r="A12" s="545"/>
      <c r="B12" s="547"/>
      <c r="C12" s="264" t="s">
        <v>414</v>
      </c>
      <c r="D12" s="264" t="s">
        <v>417</v>
      </c>
      <c r="E12" s="264" t="s">
        <v>418</v>
      </c>
      <c r="F12" s="264" t="s">
        <v>420</v>
      </c>
    </row>
    <row r="13" spans="1:6">
      <c r="A13" s="235">
        <v>1</v>
      </c>
      <c r="B13" s="237">
        <v>2</v>
      </c>
      <c r="C13" s="237">
        <v>3</v>
      </c>
      <c r="D13" s="237">
        <v>4</v>
      </c>
      <c r="E13" s="237">
        <v>5</v>
      </c>
      <c r="F13" s="237">
        <v>6</v>
      </c>
    </row>
    <row r="14" spans="1:6">
      <c r="A14" s="554" t="s">
        <v>79</v>
      </c>
      <c r="B14" s="554"/>
      <c r="C14" s="554"/>
      <c r="D14" s="554"/>
      <c r="E14" s="554"/>
      <c r="F14" s="554"/>
    </row>
    <row r="15" spans="1:6" ht="37.5">
      <c r="A15" s="313" t="s">
        <v>160</v>
      </c>
      <c r="B15" s="235">
        <f>'[36]1.Фінансовий результат'!B14</f>
        <v>1040</v>
      </c>
      <c r="C15" s="245">
        <f>'1.Фінансовий результат'!C13</f>
        <v>18975.39</v>
      </c>
      <c r="D15" s="245">
        <f>'1.Фінансовий результат'!D13</f>
        <v>19637</v>
      </c>
      <c r="E15" s="245">
        <f>D15-C15</f>
        <v>661.61000000000058</v>
      </c>
      <c r="F15" s="245">
        <f>D15/C15*100</f>
        <v>103.4866740551841</v>
      </c>
    </row>
    <row r="16" spans="1:6" ht="37.5">
      <c r="A16" s="313" t="s">
        <v>132</v>
      </c>
      <c r="B16" s="235">
        <f>'[36]1.Фінансовий результат'!B15</f>
        <v>1050</v>
      </c>
      <c r="C16" s="245">
        <f>'1.Фінансовий результат'!C14</f>
        <v>15285.764000000003</v>
      </c>
      <c r="D16" s="245">
        <f>'1.Фінансовий результат'!D14</f>
        <v>16139</v>
      </c>
      <c r="E16" s="245">
        <f>D16-C16</f>
        <v>853.23599999999715</v>
      </c>
      <c r="F16" s="245">
        <f>D16/C16*100</f>
        <v>105.58189960279381</v>
      </c>
    </row>
    <row r="17" spans="1:6">
      <c r="A17" s="314" t="s">
        <v>201</v>
      </c>
      <c r="B17" s="315">
        <f>'[36]1.Фінансовий результат'!B30</f>
        <v>1060</v>
      </c>
      <c r="C17" s="82">
        <f>'1.Фінансовий результат'!C29</f>
        <v>3689.6259999999966</v>
      </c>
      <c r="D17" s="82">
        <f>'1.Фінансовий результат'!D29</f>
        <v>3498</v>
      </c>
      <c r="E17" s="245">
        <f t="shared" ref="E17:E21" si="0">D17-C17</f>
        <v>-191.62599999999657</v>
      </c>
      <c r="F17" s="245">
        <f t="shared" ref="F17:F21" si="1">D17/C17*100</f>
        <v>94.806357067084932</v>
      </c>
    </row>
    <row r="18" spans="1:6">
      <c r="A18" s="313" t="s">
        <v>245</v>
      </c>
      <c r="B18" s="235">
        <f>'[36]1.Фінансовий результат'!B31</f>
        <v>1070</v>
      </c>
      <c r="C18" s="245">
        <f>'1.Фінансовий результат'!C30</f>
        <v>0</v>
      </c>
      <c r="D18" s="245">
        <f>'1.Фінансовий результат'!D30</f>
        <v>0</v>
      </c>
      <c r="E18" s="245">
        <f t="shared" si="0"/>
        <v>0</v>
      </c>
      <c r="F18" s="245">
        <v>0</v>
      </c>
    </row>
    <row r="19" spans="1:6">
      <c r="A19" s="313" t="s">
        <v>111</v>
      </c>
      <c r="B19" s="235">
        <f>'[36]1.Фінансовий результат'!B32</f>
        <v>1080</v>
      </c>
      <c r="C19" s="245">
        <f>'1.Фінансовий результат'!C31</f>
        <v>2769.8324799999996</v>
      </c>
      <c r="D19" s="245">
        <f>'1.Фінансовий результат'!D31</f>
        <v>2578.9670535999999</v>
      </c>
      <c r="E19" s="245">
        <f t="shared" si="0"/>
        <v>-190.86542639999971</v>
      </c>
      <c r="F19" s="245">
        <f t="shared" si="1"/>
        <v>93.109134657847619</v>
      </c>
    </row>
    <row r="20" spans="1:6">
      <c r="A20" s="313" t="s">
        <v>108</v>
      </c>
      <c r="B20" s="235">
        <f>'[36]1.Фінансовий результат'!B62</f>
        <v>1110</v>
      </c>
      <c r="C20" s="245">
        <f>'1.Фінансовий результат'!C62</f>
        <v>823.35</v>
      </c>
      <c r="D20" s="245">
        <f>'1.Фінансовий результат'!D62</f>
        <v>808.9</v>
      </c>
      <c r="E20" s="245">
        <f t="shared" si="0"/>
        <v>-14.450000000000045</v>
      </c>
      <c r="F20" s="245">
        <f t="shared" si="1"/>
        <v>98.244974798081003</v>
      </c>
    </row>
    <row r="21" spans="1:6">
      <c r="A21" s="313" t="s">
        <v>12</v>
      </c>
      <c r="B21" s="235">
        <f>'[36]1.Фінансовий результат'!B79</f>
        <v>1120</v>
      </c>
      <c r="C21" s="245">
        <f>'1.Фінансовий результат'!C79</f>
        <v>65.440000000000012</v>
      </c>
      <c r="D21" s="245">
        <f>'1.Фінансовий результат'!D79</f>
        <v>65</v>
      </c>
      <c r="E21" s="245">
        <f t="shared" si="0"/>
        <v>-0.44000000000001194</v>
      </c>
      <c r="F21" s="245">
        <f t="shared" si="1"/>
        <v>99.327628361858174</v>
      </c>
    </row>
    <row r="22" spans="1:6" ht="37.5">
      <c r="A22" s="213" t="s">
        <v>248</v>
      </c>
      <c r="B22" s="316">
        <f>'[36]1.Фінансовий результат'!B87</f>
        <v>1130</v>
      </c>
      <c r="C22" s="211">
        <f>'1.Фінансовий результат'!C88</f>
        <v>31.003519999996954</v>
      </c>
      <c r="D22" s="211">
        <f>'1.Фінансовий результат'!D88</f>
        <v>45.132946400000151</v>
      </c>
      <c r="E22" s="211">
        <f t="shared" ref="E22:E29" si="2">D22-C22</f>
        <v>14.129426400003197</v>
      </c>
      <c r="F22" s="211">
        <f t="shared" ref="F22:F29" si="3">D22/C22*100</f>
        <v>145.57362002767618</v>
      </c>
    </row>
    <row r="23" spans="1:6">
      <c r="A23" s="317" t="s">
        <v>256</v>
      </c>
      <c r="B23" s="235">
        <f>'[36]1.Фінансовий результат'!B88</f>
        <v>1140</v>
      </c>
      <c r="C23" s="245">
        <f>'1.Фінансовий результат'!C89</f>
        <v>0</v>
      </c>
      <c r="D23" s="245">
        <f>'1.Фінансовий результат'!D89</f>
        <v>0</v>
      </c>
      <c r="E23" s="245">
        <f t="shared" si="2"/>
        <v>0</v>
      </c>
      <c r="F23" s="245">
        <v>0</v>
      </c>
    </row>
    <row r="24" spans="1:6">
      <c r="A24" s="317" t="s">
        <v>441</v>
      </c>
      <c r="B24" s="235">
        <f>'[36]1.Фінансовий результат'!B89</f>
        <v>1150</v>
      </c>
      <c r="C24" s="245">
        <f>'1.Фінансовий результат'!C90</f>
        <v>0</v>
      </c>
      <c r="D24" s="245">
        <f>'1.Фінансовий результат'!D90</f>
        <v>0</v>
      </c>
      <c r="E24" s="245">
        <f t="shared" si="2"/>
        <v>0</v>
      </c>
      <c r="F24" s="477">
        <v>0</v>
      </c>
    </row>
    <row r="25" spans="1:6">
      <c r="A25" s="313" t="s">
        <v>246</v>
      </c>
      <c r="B25" s="235">
        <f>'[36]1.Фінансовий результат'!B90</f>
        <v>1160</v>
      </c>
      <c r="C25" s="245">
        <f>'1.Фінансовий результат'!C91</f>
        <v>0</v>
      </c>
      <c r="D25" s="245">
        <f>'1.Фінансовий результат'!D91</f>
        <v>0</v>
      </c>
      <c r="E25" s="245">
        <f t="shared" si="2"/>
        <v>0</v>
      </c>
      <c r="F25" s="477">
        <v>0</v>
      </c>
    </row>
    <row r="26" spans="1:6">
      <c r="A26" s="313" t="s">
        <v>247</v>
      </c>
      <c r="B26" s="235">
        <f>'[36]1.Фінансовий результат'!B91</f>
        <v>1170</v>
      </c>
      <c r="C26" s="245">
        <f>'1.Фінансовий результат'!C92</f>
        <v>0</v>
      </c>
      <c r="D26" s="245">
        <f>'1.Фінансовий результат'!D92</f>
        <v>0</v>
      </c>
      <c r="E26" s="245">
        <f t="shared" si="2"/>
        <v>0</v>
      </c>
      <c r="F26" s="477">
        <v>0</v>
      </c>
    </row>
    <row r="27" spans="1:6" ht="37.5">
      <c r="A27" s="214" t="s">
        <v>250</v>
      </c>
      <c r="B27" s="315">
        <f>'[36]1.Фінансовий результат'!B92</f>
        <v>1200</v>
      </c>
      <c r="C27" s="82">
        <f>'1.Фінансовий результат'!C93</f>
        <v>31.003519999996954</v>
      </c>
      <c r="D27" s="82">
        <f>'1.Фінансовий результат'!D93</f>
        <v>45.132946400000151</v>
      </c>
      <c r="E27" s="82">
        <f t="shared" si="2"/>
        <v>14.129426400003197</v>
      </c>
      <c r="F27" s="82">
        <f t="shared" si="3"/>
        <v>145.57362002767618</v>
      </c>
    </row>
    <row r="28" spans="1:6">
      <c r="A28" s="318" t="s">
        <v>109</v>
      </c>
      <c r="B28" s="235">
        <f>'[36]1.Фінансовий результат'!B93</f>
        <v>1210</v>
      </c>
      <c r="C28" s="245">
        <f>'1.Фінансовий результат'!C94</f>
        <v>5.5806335999994516</v>
      </c>
      <c r="D28" s="245">
        <f>'1.Фінансовий результат'!D94</f>
        <v>8.123930352000027</v>
      </c>
      <c r="E28" s="245">
        <f t="shared" si="2"/>
        <v>2.5432967520005754</v>
      </c>
      <c r="F28" s="245">
        <f t="shared" si="3"/>
        <v>145.57362002767616</v>
      </c>
    </row>
    <row r="29" spans="1:6" ht="37.5">
      <c r="A29" s="213" t="s">
        <v>251</v>
      </c>
      <c r="B29" s="316">
        <f>'[36]1.Фінансовий результат'!B95</f>
        <v>1230</v>
      </c>
      <c r="C29" s="211">
        <f>'1.Фінансовий результат'!C96</f>
        <v>25.422886399997502</v>
      </c>
      <c r="D29" s="211">
        <f>'1.Фінансовий результат'!D96</f>
        <v>37.00901604800012</v>
      </c>
      <c r="E29" s="211">
        <f t="shared" si="2"/>
        <v>11.586129648002618</v>
      </c>
      <c r="F29" s="211">
        <f t="shared" si="3"/>
        <v>145.57362002767616</v>
      </c>
    </row>
    <row r="30" spans="1:6">
      <c r="A30" s="555" t="s">
        <v>119</v>
      </c>
      <c r="B30" s="555"/>
      <c r="C30" s="555"/>
      <c r="D30" s="555"/>
      <c r="E30" s="555"/>
      <c r="F30" s="555"/>
    </row>
    <row r="31" spans="1:6" ht="37.5">
      <c r="A31" s="319" t="s">
        <v>187</v>
      </c>
      <c r="B31" s="235">
        <f>'[36]2. Розрахунки з бюджетом'!B19</f>
        <v>2100</v>
      </c>
      <c r="C31" s="245">
        <f>'2.Розрахунки з бюджетом'!C18</f>
        <v>5.3</v>
      </c>
      <c r="D31" s="245">
        <f>'2.Розрахунки з бюджетом'!D18</f>
        <v>5.5513524072000182</v>
      </c>
      <c r="E31" s="245">
        <f t="shared" ref="E31:E37" si="4">D31-C31</f>
        <v>0.25135240720001839</v>
      </c>
      <c r="F31" s="245">
        <f t="shared" ref="F31:F37" si="5">D31/C31*100</f>
        <v>104.74249824905695</v>
      </c>
    </row>
    <row r="32" spans="1:6">
      <c r="A32" s="33" t="s">
        <v>118</v>
      </c>
      <c r="B32" s="235">
        <f>'[36]2. Розрахунки з бюджетом'!B20</f>
        <v>2110</v>
      </c>
      <c r="C32" s="245">
        <f>'2.Розрахунки з бюджетом'!C19</f>
        <v>7.1821750000000719</v>
      </c>
      <c r="D32" s="245">
        <f>'2.Розрахунки з бюджетом'!D19</f>
        <v>8.123930352000027</v>
      </c>
      <c r="E32" s="245">
        <f t="shared" si="4"/>
        <v>0.94175535199995508</v>
      </c>
      <c r="F32" s="245">
        <f t="shared" si="5"/>
        <v>113.11239773466875</v>
      </c>
    </row>
    <row r="33" spans="1:6" ht="56.25">
      <c r="A33" s="33" t="s">
        <v>223</v>
      </c>
      <c r="B33" s="235">
        <f>'[36]2. Розрахунки з бюджетом'!B21</f>
        <v>2120</v>
      </c>
      <c r="C33" s="245">
        <f>'2.Розрахунки з бюджетом'!C20</f>
        <v>58</v>
      </c>
      <c r="D33" s="245">
        <f>'2.Розрахунки з бюджетом'!D20</f>
        <v>65</v>
      </c>
      <c r="E33" s="245">
        <f t="shared" si="4"/>
        <v>7</v>
      </c>
      <c r="F33" s="245">
        <f t="shared" si="5"/>
        <v>112.06896551724137</v>
      </c>
    </row>
    <row r="34" spans="1:6" ht="56.25">
      <c r="A34" s="33" t="s">
        <v>224</v>
      </c>
      <c r="B34" s="235">
        <f>'[36]2. Розрахунки з бюджетом'!B22</f>
        <v>2130</v>
      </c>
      <c r="C34" s="245">
        <f>'2.Розрахунки з бюджетом'!C21</f>
        <v>0</v>
      </c>
      <c r="D34" s="245">
        <f>'2.Розрахунки з бюджетом'!D21</f>
        <v>0</v>
      </c>
      <c r="E34" s="245">
        <f t="shared" si="4"/>
        <v>0</v>
      </c>
      <c r="F34" s="245">
        <v>0</v>
      </c>
    </row>
    <row r="35" spans="1:6" ht="56.25">
      <c r="A35" s="319" t="s">
        <v>179</v>
      </c>
      <c r="B35" s="235">
        <f>'[36]2. Розрахунки з бюджетом'!B23</f>
        <v>2140</v>
      </c>
      <c r="C35" s="245">
        <f>'2.Розрахунки з бюджетом'!C22</f>
        <v>2003.3400000000001</v>
      </c>
      <c r="D35" s="245">
        <f>'2.Розрахунки з бюджетом'!D22</f>
        <v>1963.2</v>
      </c>
      <c r="E35" s="245">
        <f t="shared" si="4"/>
        <v>-40.1400000000001</v>
      </c>
      <c r="F35" s="245">
        <f t="shared" si="5"/>
        <v>97.996346102009639</v>
      </c>
    </row>
    <row r="36" spans="1:6" ht="37.5">
      <c r="A36" s="319" t="s">
        <v>66</v>
      </c>
      <c r="B36" s="235">
        <f>'[36]2. Розрахунки з бюджетом'!B38</f>
        <v>2150</v>
      </c>
      <c r="C36" s="245">
        <f>'2.Розрахунки з бюджетом'!C37</f>
        <v>2163.6166400000002</v>
      </c>
      <c r="D36" s="245">
        <f>'2.Розрахунки з бюджетом'!D37</f>
        <v>2053.0071736</v>
      </c>
      <c r="E36" s="245">
        <f t="shared" si="4"/>
        <v>-110.6094664000002</v>
      </c>
      <c r="F36" s="245">
        <f t="shared" si="5"/>
        <v>94.887751168340046</v>
      </c>
    </row>
    <row r="37" spans="1:6">
      <c r="A37" s="215" t="s">
        <v>188</v>
      </c>
      <c r="B37" s="235">
        <f>'[36]2. Розрахунки з бюджетом'!B39</f>
        <v>2200</v>
      </c>
      <c r="C37" s="82">
        <f>'2.Розрахунки з бюджетом'!C38</f>
        <v>4237.4388150000004</v>
      </c>
      <c r="D37" s="82">
        <f>'2.Розрахунки з бюджетом'!D38</f>
        <v>4094.8824563591998</v>
      </c>
      <c r="E37" s="82">
        <f t="shared" si="4"/>
        <v>-142.55635864080068</v>
      </c>
      <c r="F37" s="82">
        <f t="shared" si="5"/>
        <v>96.635789568543885</v>
      </c>
    </row>
    <row r="38" spans="1:6">
      <c r="A38" s="555" t="s">
        <v>117</v>
      </c>
      <c r="B38" s="555"/>
      <c r="C38" s="555"/>
      <c r="D38" s="555"/>
      <c r="E38" s="555"/>
      <c r="F38" s="555"/>
    </row>
    <row r="39" spans="1:6">
      <c r="A39" s="215" t="s">
        <v>112</v>
      </c>
      <c r="B39" s="315">
        <v>3600</v>
      </c>
      <c r="C39" s="82">
        <f>'[36]3. Рух грошових коштів'!C72</f>
        <v>60</v>
      </c>
      <c r="D39" s="82">
        <v>448</v>
      </c>
      <c r="E39" s="82">
        <f t="shared" ref="E39:E43" si="6">D39-C39</f>
        <v>388</v>
      </c>
      <c r="F39" s="82">
        <f t="shared" ref="F39:F40" si="7">D39/C39*100</f>
        <v>746.66666666666663</v>
      </c>
    </row>
    <row r="40" spans="1:6" ht="37.5">
      <c r="A40" s="319" t="s">
        <v>113</v>
      </c>
      <c r="B40" s="235">
        <v>3090</v>
      </c>
      <c r="C40" s="245">
        <f>'[36]3. Рух грошових коштів'!C27</f>
        <v>22.899999999999793</v>
      </c>
      <c r="D40" s="245">
        <f>'3.Рух грошових коштів'!D27</f>
        <v>37.009016048000916</v>
      </c>
      <c r="E40" s="245">
        <f t="shared" si="6"/>
        <v>14.109016048001124</v>
      </c>
      <c r="F40" s="245">
        <f t="shared" si="7"/>
        <v>161.61142379039848</v>
      </c>
    </row>
    <row r="41" spans="1:6" ht="37.5">
      <c r="A41" s="319" t="s">
        <v>173</v>
      </c>
      <c r="B41" s="235">
        <v>3320</v>
      </c>
      <c r="C41" s="503">
        <f>'3.Рух грошових коштів'!C44</f>
        <v>0</v>
      </c>
      <c r="D41" s="245">
        <f>'3.Рух грошових коштів'!D44</f>
        <v>0</v>
      </c>
      <c r="E41" s="245">
        <f t="shared" si="6"/>
        <v>0</v>
      </c>
      <c r="F41" s="245">
        <v>0</v>
      </c>
    </row>
    <row r="42" spans="1:6" ht="37.5">
      <c r="A42" s="319" t="s">
        <v>114</v>
      </c>
      <c r="B42" s="235">
        <v>3580</v>
      </c>
      <c r="C42" s="503">
        <f>'3.Рух грошових коштів'!C70</f>
        <v>5.7</v>
      </c>
      <c r="D42" s="245">
        <f>'3.Рух грошових коштів'!D70</f>
        <v>0</v>
      </c>
      <c r="E42" s="245">
        <f t="shared" si="6"/>
        <v>-5.7</v>
      </c>
      <c r="F42" s="477">
        <v>0</v>
      </c>
    </row>
    <row r="43" spans="1:6" ht="37.5">
      <c r="A43" s="319" t="s">
        <v>130</v>
      </c>
      <c r="B43" s="235">
        <v>3610</v>
      </c>
      <c r="C43" s="503">
        <f>'3.Рух грошових коштів'!C73</f>
        <v>0</v>
      </c>
      <c r="D43" s="245">
        <f>'3.Рух грошових коштів'!D73</f>
        <v>0</v>
      </c>
      <c r="E43" s="245">
        <f t="shared" si="6"/>
        <v>0</v>
      </c>
      <c r="F43" s="477">
        <v>0</v>
      </c>
    </row>
    <row r="44" spans="1:6">
      <c r="A44" s="215" t="s">
        <v>115</v>
      </c>
      <c r="B44" s="315">
        <v>3620</v>
      </c>
      <c r="C44" s="82">
        <f>'3.Рух грошових коштів'!C74</f>
        <v>473.42288639999748</v>
      </c>
      <c r="D44" s="82">
        <f>'3.Рух грошових коштів'!D74</f>
        <v>648</v>
      </c>
      <c r="E44" s="82">
        <f>'[36]3. Рух грошових коштів'!E74</f>
        <v>365.1</v>
      </c>
      <c r="F44" s="82">
        <f>'[36]3. Рух грошових коштів'!F74</f>
        <v>540.4101326899879</v>
      </c>
    </row>
    <row r="45" spans="1:6">
      <c r="A45" s="556" t="s">
        <v>163</v>
      </c>
      <c r="B45" s="557"/>
      <c r="C45" s="557"/>
      <c r="D45" s="557"/>
      <c r="E45" s="557"/>
      <c r="F45" s="557"/>
    </row>
    <row r="46" spans="1:6">
      <c r="A46" s="215" t="s">
        <v>162</v>
      </c>
      <c r="B46" s="472">
        <f>'[36]4. Кап. інвестиції'!B7</f>
        <v>4000</v>
      </c>
      <c r="C46" s="82">
        <f>'4.Кап. інвестиції'!C7</f>
        <v>8733.9</v>
      </c>
      <c r="D46" s="82">
        <f>'4.Кап. інвестиції'!D7</f>
        <v>4218.8999999999996</v>
      </c>
      <c r="E46" s="82">
        <f t="shared" ref="E46" si="8">D46-C46</f>
        <v>-4515</v>
      </c>
      <c r="F46" s="82">
        <f t="shared" ref="F46" si="9">D46/C46*100</f>
        <v>48.304880981005049</v>
      </c>
    </row>
    <row r="47" spans="1:6">
      <c r="A47" s="558"/>
      <c r="B47" s="558"/>
      <c r="C47" s="558"/>
      <c r="D47" s="558"/>
      <c r="E47" s="558"/>
      <c r="F47" s="558"/>
    </row>
    <row r="48" spans="1:6" ht="19.5">
      <c r="A48" s="320" t="s">
        <v>548</v>
      </c>
      <c r="B48" s="559" t="s">
        <v>331</v>
      </c>
      <c r="C48" s="559"/>
      <c r="D48" s="490"/>
      <c r="E48" s="560" t="s">
        <v>438</v>
      </c>
      <c r="F48" s="560"/>
    </row>
    <row r="49" spans="1:6" s="269" customFormat="1" ht="12.75">
      <c r="A49" s="473" t="s">
        <v>442</v>
      </c>
      <c r="B49" s="552" t="s">
        <v>62</v>
      </c>
      <c r="C49" s="552"/>
      <c r="D49" s="278"/>
      <c r="E49" s="553" t="s">
        <v>437</v>
      </c>
      <c r="F49" s="553"/>
    </row>
    <row r="51" spans="1:6">
      <c r="A51" s="37"/>
    </row>
    <row r="52" spans="1:6">
      <c r="A52" s="37"/>
    </row>
    <row r="53" spans="1:6">
      <c r="A53" s="37"/>
    </row>
    <row r="54" spans="1:6">
      <c r="A54" s="37"/>
    </row>
    <row r="55" spans="1:6">
      <c r="A55" s="37"/>
    </row>
    <row r="56" spans="1:6">
      <c r="A56" s="37"/>
    </row>
    <row r="57" spans="1:6">
      <c r="A57" s="37"/>
    </row>
    <row r="58" spans="1:6">
      <c r="A58" s="37"/>
    </row>
    <row r="59" spans="1:6">
      <c r="A59" s="37"/>
    </row>
    <row r="60" spans="1:6">
      <c r="A60" s="37"/>
    </row>
    <row r="61" spans="1:6">
      <c r="A61" s="37"/>
    </row>
    <row r="62" spans="1:6">
      <c r="A62" s="37"/>
    </row>
    <row r="63" spans="1:6">
      <c r="A63" s="37"/>
    </row>
    <row r="64" spans="1:6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7"/>
    </row>
    <row r="78" spans="1:1">
      <c r="A78" s="37"/>
    </row>
    <row r="79" spans="1:1">
      <c r="A79" s="37"/>
    </row>
    <row r="80" spans="1:1">
      <c r="A80" s="37"/>
    </row>
    <row r="81" spans="1:1">
      <c r="A81" s="37"/>
    </row>
    <row r="82" spans="1:1">
      <c r="A82" s="37"/>
    </row>
    <row r="83" spans="1:1">
      <c r="A83" s="37"/>
    </row>
    <row r="84" spans="1:1">
      <c r="A84" s="37"/>
    </row>
    <row r="85" spans="1:1">
      <c r="A85" s="37"/>
    </row>
    <row r="86" spans="1:1">
      <c r="A86" s="37"/>
    </row>
    <row r="87" spans="1:1">
      <c r="A87" s="37"/>
    </row>
    <row r="88" spans="1:1">
      <c r="A88" s="37"/>
    </row>
    <row r="89" spans="1:1">
      <c r="A89" s="37"/>
    </row>
    <row r="90" spans="1:1">
      <c r="A90" s="37"/>
    </row>
    <row r="91" spans="1:1">
      <c r="A91" s="37"/>
    </row>
    <row r="92" spans="1:1">
      <c r="A92" s="37"/>
    </row>
    <row r="93" spans="1:1">
      <c r="A93" s="37"/>
    </row>
    <row r="94" spans="1:1">
      <c r="A94" s="37"/>
    </row>
    <row r="95" spans="1:1">
      <c r="A95" s="37"/>
    </row>
    <row r="96" spans="1:1">
      <c r="A96" s="37"/>
    </row>
    <row r="97" spans="1:1">
      <c r="A97" s="37"/>
    </row>
    <row r="98" spans="1:1">
      <c r="A98" s="37"/>
    </row>
    <row r="99" spans="1:1">
      <c r="A99" s="37"/>
    </row>
    <row r="100" spans="1:1">
      <c r="A100" s="37"/>
    </row>
    <row r="101" spans="1:1">
      <c r="A101" s="37"/>
    </row>
    <row r="102" spans="1:1">
      <c r="A102" s="37"/>
    </row>
    <row r="103" spans="1:1">
      <c r="A103" s="37"/>
    </row>
    <row r="104" spans="1:1">
      <c r="A104" s="37"/>
    </row>
    <row r="105" spans="1:1">
      <c r="A105" s="37"/>
    </row>
    <row r="106" spans="1:1">
      <c r="A106" s="37"/>
    </row>
    <row r="107" spans="1:1">
      <c r="A107" s="37"/>
    </row>
    <row r="108" spans="1:1">
      <c r="A108" s="37"/>
    </row>
    <row r="109" spans="1:1">
      <c r="A109" s="37"/>
    </row>
    <row r="110" spans="1:1">
      <c r="A110" s="37"/>
    </row>
    <row r="111" spans="1:1">
      <c r="A111" s="37"/>
    </row>
    <row r="112" spans="1:1">
      <c r="A112" s="37"/>
    </row>
    <row r="113" spans="1:1">
      <c r="A113" s="37"/>
    </row>
    <row r="114" spans="1:1">
      <c r="A114" s="37"/>
    </row>
    <row r="115" spans="1:1">
      <c r="A115" s="37"/>
    </row>
    <row r="116" spans="1:1">
      <c r="A116" s="37"/>
    </row>
    <row r="117" spans="1:1">
      <c r="A117" s="37"/>
    </row>
    <row r="118" spans="1:1">
      <c r="A118" s="37"/>
    </row>
    <row r="119" spans="1:1">
      <c r="A119" s="37"/>
    </row>
    <row r="120" spans="1:1">
      <c r="A120" s="37"/>
    </row>
    <row r="121" spans="1:1">
      <c r="A121" s="37"/>
    </row>
    <row r="122" spans="1:1">
      <c r="A122" s="37"/>
    </row>
    <row r="123" spans="1:1">
      <c r="A123" s="37"/>
    </row>
    <row r="124" spans="1:1">
      <c r="A124" s="37"/>
    </row>
    <row r="125" spans="1:1">
      <c r="A125" s="37"/>
    </row>
    <row r="126" spans="1:1">
      <c r="A126" s="37"/>
    </row>
    <row r="127" spans="1:1">
      <c r="A127" s="37"/>
    </row>
    <row r="128" spans="1:1">
      <c r="A128" s="37"/>
    </row>
    <row r="129" spans="1:1">
      <c r="A129" s="37"/>
    </row>
    <row r="130" spans="1:1">
      <c r="A130" s="37"/>
    </row>
    <row r="131" spans="1:1">
      <c r="A131" s="37"/>
    </row>
    <row r="132" spans="1:1">
      <c r="A132" s="37"/>
    </row>
    <row r="133" spans="1:1">
      <c r="A133" s="37"/>
    </row>
    <row r="134" spans="1:1">
      <c r="A134" s="37"/>
    </row>
    <row r="135" spans="1:1">
      <c r="A135" s="37"/>
    </row>
    <row r="136" spans="1:1">
      <c r="A136" s="37"/>
    </row>
    <row r="137" spans="1:1">
      <c r="A137" s="37"/>
    </row>
    <row r="138" spans="1:1">
      <c r="A138" s="37"/>
    </row>
    <row r="139" spans="1:1">
      <c r="A139" s="37"/>
    </row>
    <row r="140" spans="1:1">
      <c r="A140" s="37"/>
    </row>
    <row r="141" spans="1:1">
      <c r="A141" s="37"/>
    </row>
    <row r="142" spans="1:1">
      <c r="A142" s="37"/>
    </row>
    <row r="143" spans="1:1">
      <c r="A143" s="37"/>
    </row>
    <row r="144" spans="1:1">
      <c r="A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37"/>
    </row>
    <row r="149" spans="1:1">
      <c r="A149" s="37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  <row r="154" spans="1:1">
      <c r="A154" s="37"/>
    </row>
    <row r="155" spans="1:1">
      <c r="A155" s="37"/>
    </row>
    <row r="156" spans="1:1">
      <c r="A156" s="37"/>
    </row>
    <row r="157" spans="1:1">
      <c r="A157" s="37"/>
    </row>
    <row r="158" spans="1:1">
      <c r="A158" s="37"/>
    </row>
    <row r="159" spans="1:1">
      <c r="A159" s="37"/>
    </row>
    <row r="160" spans="1:1">
      <c r="A160" s="37"/>
    </row>
    <row r="161" spans="1:1">
      <c r="A161" s="37"/>
    </row>
    <row r="162" spans="1:1">
      <c r="A162" s="37"/>
    </row>
    <row r="163" spans="1:1">
      <c r="A163" s="37"/>
    </row>
    <row r="164" spans="1:1">
      <c r="A164" s="37"/>
    </row>
    <row r="165" spans="1:1">
      <c r="A165" s="37"/>
    </row>
    <row r="166" spans="1:1">
      <c r="A166" s="37"/>
    </row>
    <row r="167" spans="1:1">
      <c r="A167" s="37"/>
    </row>
    <row r="168" spans="1:1">
      <c r="A168" s="37"/>
    </row>
    <row r="169" spans="1:1">
      <c r="A169" s="37"/>
    </row>
    <row r="170" spans="1:1">
      <c r="A170" s="37"/>
    </row>
    <row r="171" spans="1:1">
      <c r="A171" s="37"/>
    </row>
    <row r="172" spans="1:1">
      <c r="A172" s="37"/>
    </row>
    <row r="173" spans="1:1">
      <c r="A173" s="37"/>
    </row>
    <row r="174" spans="1:1">
      <c r="A174" s="37"/>
    </row>
    <row r="175" spans="1:1">
      <c r="A175" s="37"/>
    </row>
    <row r="176" spans="1:1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37"/>
    </row>
    <row r="185" spans="1:1">
      <c r="A185" s="37"/>
    </row>
    <row r="186" spans="1:1">
      <c r="A186" s="37"/>
    </row>
    <row r="187" spans="1:1">
      <c r="A187" s="37"/>
    </row>
    <row r="188" spans="1:1">
      <c r="A188" s="37"/>
    </row>
    <row r="189" spans="1:1">
      <c r="A189" s="37"/>
    </row>
    <row r="190" spans="1:1">
      <c r="A190" s="37"/>
    </row>
    <row r="191" spans="1:1">
      <c r="A191" s="37"/>
    </row>
    <row r="192" spans="1:1">
      <c r="A192" s="37"/>
    </row>
    <row r="193" spans="1:1">
      <c r="A193" s="37"/>
    </row>
    <row r="194" spans="1:1">
      <c r="A194" s="37"/>
    </row>
    <row r="195" spans="1:1">
      <c r="A195" s="37"/>
    </row>
    <row r="196" spans="1:1">
      <c r="A196" s="37"/>
    </row>
    <row r="197" spans="1:1">
      <c r="A197" s="37"/>
    </row>
    <row r="198" spans="1:1">
      <c r="A198" s="37"/>
    </row>
    <row r="199" spans="1:1">
      <c r="A199" s="37"/>
    </row>
    <row r="200" spans="1:1">
      <c r="A200" s="37"/>
    </row>
    <row r="201" spans="1:1">
      <c r="A201" s="37"/>
    </row>
    <row r="202" spans="1:1">
      <c r="A202" s="37"/>
    </row>
    <row r="203" spans="1:1">
      <c r="A203" s="37"/>
    </row>
    <row r="204" spans="1:1">
      <c r="A204" s="37"/>
    </row>
    <row r="205" spans="1:1">
      <c r="A205" s="37"/>
    </row>
    <row r="206" spans="1:1">
      <c r="A206" s="37"/>
    </row>
    <row r="207" spans="1:1">
      <c r="A207" s="37"/>
    </row>
    <row r="208" spans="1:1">
      <c r="A208" s="37"/>
    </row>
    <row r="209" spans="1:1">
      <c r="A209" s="37"/>
    </row>
    <row r="210" spans="1:1">
      <c r="A210" s="37"/>
    </row>
    <row r="211" spans="1:1">
      <c r="A211" s="37"/>
    </row>
    <row r="212" spans="1:1">
      <c r="A212" s="37"/>
    </row>
    <row r="213" spans="1:1">
      <c r="A213" s="37"/>
    </row>
    <row r="214" spans="1:1">
      <c r="A214" s="37"/>
    </row>
    <row r="215" spans="1:1">
      <c r="A215" s="37"/>
    </row>
    <row r="216" spans="1:1">
      <c r="A216" s="37"/>
    </row>
    <row r="217" spans="1:1">
      <c r="A217" s="37"/>
    </row>
    <row r="218" spans="1:1">
      <c r="A218" s="37"/>
    </row>
  </sheetData>
  <mergeCells count="17">
    <mergeCell ref="B49:C49"/>
    <mergeCell ref="E49:F49"/>
    <mergeCell ref="A14:F14"/>
    <mergeCell ref="A30:F30"/>
    <mergeCell ref="A38:F38"/>
    <mergeCell ref="A45:F45"/>
    <mergeCell ref="A47:F47"/>
    <mergeCell ref="B48:C48"/>
    <mergeCell ref="E48:F48"/>
    <mergeCell ref="A11:A12"/>
    <mergeCell ref="B11:B12"/>
    <mergeCell ref="C11:F11"/>
    <mergeCell ref="A4:F4"/>
    <mergeCell ref="A5:F5"/>
    <mergeCell ref="A6:F6"/>
    <mergeCell ref="A7:F7"/>
    <mergeCell ref="A9:F9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3"/>
  <sheetViews>
    <sheetView view="pageBreakPreview" topLeftCell="A25" zoomScale="60" zoomScaleNormal="64" workbookViewId="0">
      <selection activeCell="D7" sqref="D7"/>
    </sheetView>
  </sheetViews>
  <sheetFormatPr defaultRowHeight="12.75"/>
  <cols>
    <col min="1" max="1" width="51.42578125" style="350" customWidth="1"/>
    <col min="2" max="2" width="7.85546875" style="350" customWidth="1"/>
    <col min="3" max="3" width="14.7109375" style="350" customWidth="1"/>
    <col min="4" max="4" width="13.85546875" style="350" customWidth="1"/>
    <col min="5" max="5" width="14.7109375" style="350" customWidth="1"/>
    <col min="6" max="6" width="27.85546875" style="350" customWidth="1"/>
  </cols>
  <sheetData>
    <row r="1" spans="1:8" ht="18.75" customHeight="1">
      <c r="A1" s="704" t="s">
        <v>528</v>
      </c>
      <c r="B1" s="704"/>
      <c r="C1" s="704"/>
      <c r="D1" s="704"/>
      <c r="E1" s="704"/>
      <c r="F1" s="704"/>
    </row>
    <row r="4" spans="1:8" ht="78.75" customHeight="1">
      <c r="A4" s="351" t="s">
        <v>186</v>
      </c>
      <c r="B4" s="351" t="s">
        <v>0</v>
      </c>
      <c r="C4" s="351" t="s">
        <v>454</v>
      </c>
      <c r="D4" s="351" t="s">
        <v>455</v>
      </c>
      <c r="E4" s="351" t="s">
        <v>456</v>
      </c>
      <c r="F4" s="351" t="s">
        <v>457</v>
      </c>
    </row>
    <row r="5" spans="1:8" ht="16.5" customHeight="1">
      <c r="A5" s="352">
        <v>1</v>
      </c>
      <c r="B5" s="352">
        <v>2</v>
      </c>
      <c r="C5" s="352">
        <v>3</v>
      </c>
      <c r="D5" s="352">
        <v>4</v>
      </c>
      <c r="E5" s="352">
        <v>5</v>
      </c>
      <c r="F5" s="352">
        <v>6</v>
      </c>
    </row>
    <row r="6" spans="1:8" ht="23.25" customHeight="1">
      <c r="A6" s="705" t="s">
        <v>458</v>
      </c>
      <c r="B6" s="706"/>
      <c r="C6" s="706"/>
      <c r="D6" s="706"/>
      <c r="E6" s="706"/>
      <c r="F6" s="707"/>
    </row>
    <row r="7" spans="1:8" ht="83.25" customHeight="1">
      <c r="A7" s="8" t="s">
        <v>485</v>
      </c>
      <c r="B7" s="237">
        <v>5000</v>
      </c>
      <c r="C7" s="353"/>
      <c r="D7" s="354">
        <v>17.366259396068497</v>
      </c>
      <c r="E7" s="354">
        <f>'1.Фінансовий результат'!D29/'1.Фінансовий результат'!D13*100</f>
        <v>17.813311605642408</v>
      </c>
      <c r="F7" s="354"/>
    </row>
    <row r="8" spans="1:8" ht="69.75" customHeight="1">
      <c r="A8" s="355" t="s">
        <v>459</v>
      </c>
      <c r="B8" s="237">
        <v>5020</v>
      </c>
      <c r="C8" s="353" t="s">
        <v>460</v>
      </c>
      <c r="D8" s="356">
        <f>35.1/10056</f>
        <v>3.4904534606205254E-3</v>
      </c>
      <c r="E8" s="356">
        <f>'1.Фінансовий результат'!D96/14333</f>
        <v>2.5820844239168436E-3</v>
      </c>
      <c r="F8" s="357" t="s">
        <v>461</v>
      </c>
    </row>
    <row r="9" spans="1:8" ht="77.25" customHeight="1">
      <c r="A9" s="355" t="s">
        <v>462</v>
      </c>
      <c r="B9" s="237">
        <v>5030</v>
      </c>
      <c r="C9" s="353" t="s">
        <v>460</v>
      </c>
      <c r="D9" s="356">
        <f>35/8860</f>
        <v>3.9503386004514675E-3</v>
      </c>
      <c r="E9" s="356">
        <f>'1.Фінансовий результат'!D96/13316</f>
        <v>2.7792892796635717E-3</v>
      </c>
      <c r="F9" s="358"/>
    </row>
    <row r="10" spans="1:8" ht="78.75" customHeight="1">
      <c r="A10" s="355" t="s">
        <v>463</v>
      </c>
      <c r="B10" s="237">
        <v>5040</v>
      </c>
      <c r="C10" s="353" t="s">
        <v>464</v>
      </c>
      <c r="D10" s="356">
        <f>35/15485</f>
        <v>2.2602518566354536E-3</v>
      </c>
      <c r="E10" s="356">
        <f>'1.Фінансовий результат'!D96/'1.Фінансовий результат'!D13</f>
        <v>1.8846573329938444E-3</v>
      </c>
      <c r="F10" s="357" t="s">
        <v>465</v>
      </c>
    </row>
    <row r="11" spans="1:8" ht="21.75" customHeight="1">
      <c r="A11" s="705" t="s">
        <v>466</v>
      </c>
      <c r="B11" s="708"/>
      <c r="C11" s="708"/>
      <c r="D11" s="708"/>
      <c r="E11" s="708"/>
      <c r="F11" s="709"/>
    </row>
    <row r="12" spans="1:8" ht="94.5">
      <c r="A12" s="359" t="s">
        <v>467</v>
      </c>
      <c r="B12" s="237">
        <v>5110</v>
      </c>
      <c r="C12" s="353" t="s">
        <v>468</v>
      </c>
      <c r="D12" s="360">
        <f>8860/(0+1196)</f>
        <v>7.408026755852843</v>
      </c>
      <c r="E12" s="360">
        <f>13316/(0+1017)</f>
        <v>13.093411996066862</v>
      </c>
      <c r="F12" s="357" t="s">
        <v>469</v>
      </c>
    </row>
    <row r="13" spans="1:8" ht="78.75">
      <c r="A13" s="359" t="s">
        <v>470</v>
      </c>
      <c r="B13" s="237">
        <v>5120</v>
      </c>
      <c r="C13" s="353" t="s">
        <v>471</v>
      </c>
      <c r="D13" s="360">
        <f>2023/1196</f>
        <v>1.6914715719063544</v>
      </c>
      <c r="E13" s="360">
        <f>2202/1017</f>
        <v>2.1651917404129795</v>
      </c>
      <c r="F13" s="357" t="s">
        <v>472</v>
      </c>
    </row>
    <row r="14" spans="1:8" ht="23.25" customHeight="1">
      <c r="A14" s="705" t="s">
        <v>473</v>
      </c>
      <c r="B14" s="708"/>
      <c r="C14" s="708"/>
      <c r="D14" s="708"/>
      <c r="E14" s="708"/>
      <c r="F14" s="709"/>
    </row>
    <row r="15" spans="1:8" ht="102" customHeight="1">
      <c r="A15" s="359" t="s">
        <v>474</v>
      </c>
      <c r="B15" s="237">
        <v>5200</v>
      </c>
      <c r="C15" s="354">
        <f>495/253</f>
        <v>1.9565217391304348</v>
      </c>
      <c r="D15" s="354">
        <f>0/298</f>
        <v>0</v>
      </c>
      <c r="E15" s="354">
        <f>'4.Кап. інвестиції'!D7/'1.Фінансовий результат'!D106</f>
        <v>20.381159420289855</v>
      </c>
      <c r="F15" s="361"/>
      <c r="H15">
        <f>0/298</f>
        <v>0</v>
      </c>
    </row>
    <row r="16" spans="1:8" ht="141" customHeight="1">
      <c r="A16" s="359" t="s">
        <v>475</v>
      </c>
      <c r="B16" s="237">
        <v>5210</v>
      </c>
      <c r="C16" s="356">
        <f>495/12014</f>
        <v>4.1201931080406193E-2</v>
      </c>
      <c r="D16" s="356">
        <f>0/'1.Фінансовий результат'!D13</f>
        <v>0</v>
      </c>
      <c r="E16" s="354">
        <f>'4.Кап. інвестиції'!D7/'1.Фінансовий результат'!D13</f>
        <v>0.21484442633803533</v>
      </c>
      <c r="F16" s="362"/>
    </row>
    <row r="17" spans="1:6" ht="103.5" customHeight="1">
      <c r="A17" s="359" t="s">
        <v>476</v>
      </c>
      <c r="B17" s="237">
        <v>5220</v>
      </c>
      <c r="C17" s="353" t="s">
        <v>460</v>
      </c>
      <c r="D17" s="360">
        <f>5017/10748</f>
        <v>0.46678451804986976</v>
      </c>
      <c r="E17" s="360">
        <f>5344/15173</f>
        <v>0.35220457391418969</v>
      </c>
      <c r="F17" s="358" t="s">
        <v>477</v>
      </c>
    </row>
    <row r="18" spans="1:6" ht="18.75">
      <c r="A18" s="710" t="s">
        <v>478</v>
      </c>
      <c r="B18" s="706"/>
      <c r="C18" s="706"/>
      <c r="D18" s="706"/>
      <c r="E18" s="706"/>
      <c r="F18" s="707"/>
    </row>
    <row r="19" spans="1:6" ht="131.25" customHeight="1">
      <c r="A19" s="355" t="s">
        <v>479</v>
      </c>
      <c r="B19" s="237">
        <v>5300</v>
      </c>
      <c r="C19" s="353"/>
      <c r="D19" s="360"/>
      <c r="E19" s="360"/>
      <c r="F19" s="358"/>
    </row>
    <row r="21" spans="1:6" ht="18.75">
      <c r="A21" s="332" t="s">
        <v>480</v>
      </c>
      <c r="B21" s="41"/>
      <c r="C21" s="559" t="s">
        <v>481</v>
      </c>
      <c r="D21" s="559"/>
      <c r="E21" s="363"/>
      <c r="F21" s="343" t="s">
        <v>482</v>
      </c>
    </row>
    <row r="22" spans="1:6" ht="15">
      <c r="A22" s="303" t="s">
        <v>483</v>
      </c>
      <c r="B22" s="364"/>
      <c r="C22" s="703" t="s">
        <v>62</v>
      </c>
      <c r="D22" s="703"/>
      <c r="E22" s="242"/>
      <c r="F22" s="243" t="s">
        <v>484</v>
      </c>
    </row>
    <row r="23" spans="1:6" ht="15">
      <c r="A23" s="365"/>
      <c r="B23" s="365"/>
      <c r="C23" s="365"/>
      <c r="D23" s="365"/>
      <c r="E23" s="365"/>
      <c r="F23" s="365"/>
    </row>
  </sheetData>
  <mergeCells count="7">
    <mergeCell ref="C22:D22"/>
    <mergeCell ref="A1:F1"/>
    <mergeCell ref="A6:F6"/>
    <mergeCell ref="A11:F11"/>
    <mergeCell ref="A14:F14"/>
    <mergeCell ref="A18:F18"/>
    <mergeCell ref="C21:D21"/>
  </mergeCells>
  <printOptions horizontalCentered="1"/>
  <pageMargins left="0.70866141732283472" right="0.31496062992125984" top="0.55118110236220474" bottom="0.55118110236220474" header="0.31496062992125984" footer="0.31496062992125984"/>
  <pageSetup paperSize="9" scale="63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2:R111"/>
  <sheetViews>
    <sheetView view="pageBreakPreview" topLeftCell="A70" zoomScale="89" zoomScaleNormal="75" zoomScaleSheetLayoutView="89" workbookViewId="0">
      <selection activeCell="H62" sqref="H62"/>
    </sheetView>
  </sheetViews>
  <sheetFormatPr defaultRowHeight="18.75" outlineLevelRow="1" outlineLevelCol="1"/>
  <cols>
    <col min="1" max="1" width="35" style="2" customWidth="1"/>
    <col min="2" max="2" width="10.140625" style="2" customWidth="1"/>
    <col min="3" max="3" width="11.5703125" style="2" hidden="1" customWidth="1" outlineLevel="1"/>
    <col min="4" max="4" width="12.140625" style="2" hidden="1" customWidth="1" outlineLevel="1"/>
    <col min="5" max="5" width="11" style="2" hidden="1" customWidth="1" outlineLevel="1"/>
    <col min="6" max="6" width="11" style="2" customWidth="1" collapsed="1"/>
    <col min="7" max="7" width="10.42578125" style="2" customWidth="1"/>
    <col min="8" max="8" width="9.5703125" style="2" customWidth="1"/>
    <col min="9" max="9" width="9.42578125" style="2" customWidth="1"/>
    <col min="10" max="10" width="11.85546875" style="2" customWidth="1"/>
    <col min="11" max="16384" width="9.140625" style="2"/>
  </cols>
  <sheetData>
    <row r="2" spans="1:10">
      <c r="A2" s="550" t="s">
        <v>117</v>
      </c>
      <c r="B2" s="550"/>
      <c r="C2" s="550"/>
      <c r="D2" s="550"/>
      <c r="E2" s="550"/>
      <c r="F2" s="550"/>
      <c r="G2" s="550"/>
      <c r="H2" s="550"/>
      <c r="I2" s="550"/>
      <c r="J2" s="550"/>
    </row>
    <row r="3" spans="1:10" outlineLevel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20.25" customHeight="1">
      <c r="A4" s="711" t="s">
        <v>186</v>
      </c>
      <c r="B4" s="653" t="s">
        <v>0</v>
      </c>
      <c r="C4" s="653" t="s">
        <v>384</v>
      </c>
      <c r="D4" s="653" t="s">
        <v>386</v>
      </c>
      <c r="E4" s="653" t="s">
        <v>383</v>
      </c>
      <c r="F4" s="621" t="s">
        <v>387</v>
      </c>
      <c r="G4" s="621" t="s">
        <v>271</v>
      </c>
      <c r="H4" s="621"/>
      <c r="I4" s="621"/>
      <c r="J4" s="621"/>
    </row>
    <row r="5" spans="1:10" ht="24.75" customHeight="1">
      <c r="A5" s="712"/>
      <c r="B5" s="653"/>
      <c r="C5" s="653"/>
      <c r="D5" s="653"/>
      <c r="E5" s="653"/>
      <c r="F5" s="621"/>
      <c r="G5" s="323" t="s">
        <v>144</v>
      </c>
      <c r="H5" s="323" t="s">
        <v>145</v>
      </c>
      <c r="I5" s="323" t="s">
        <v>146</v>
      </c>
      <c r="J5" s="323" t="s">
        <v>55</v>
      </c>
    </row>
    <row r="6" spans="1:10" ht="18" customHeight="1">
      <c r="A6" s="6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</row>
    <row r="7" spans="1:10" s="43" customFormat="1" ht="30.75" customHeight="1">
      <c r="A7" s="713" t="s">
        <v>121</v>
      </c>
      <c r="B7" s="713"/>
      <c r="C7" s="713"/>
      <c r="D7" s="713"/>
      <c r="E7" s="713"/>
      <c r="F7" s="713"/>
      <c r="G7" s="713"/>
      <c r="H7" s="713"/>
      <c r="I7" s="713"/>
      <c r="J7" s="713"/>
    </row>
    <row r="8" spans="1:10" ht="35.25" customHeight="1">
      <c r="A8" s="110" t="s">
        <v>133</v>
      </c>
      <c r="B8" s="111">
        <v>1200</v>
      </c>
      <c r="C8" s="94">
        <f>'1.1.Фінансовий результат'!C95</f>
        <v>32.599999999999952</v>
      </c>
      <c r="D8" s="94">
        <v>27.9</v>
      </c>
      <c r="E8" s="94">
        <v>38.1</v>
      </c>
      <c r="F8" s="420">
        <f>'[38]1.1.Фінансовий результат'!F98</f>
        <v>29.656574999999727</v>
      </c>
      <c r="G8" s="420">
        <f>'[38]1.1.Фінансовий результат'!G98</f>
        <v>12.95600000000039</v>
      </c>
      <c r="H8" s="420">
        <f>'[38]1.1.Фінансовий результат'!H98</f>
        <v>6.959999999999396</v>
      </c>
      <c r="I8" s="420">
        <f>'[38]1.1.Фінансовий результат'!I98</f>
        <v>5.305399999999775</v>
      </c>
      <c r="J8" s="420">
        <f>'[38]1.1.Фінансовий результат'!J98</f>
        <v>4.4351750000001644</v>
      </c>
    </row>
    <row r="9" spans="1:10" ht="20.100000000000001" customHeight="1">
      <c r="A9" s="110" t="s">
        <v>134</v>
      </c>
      <c r="B9" s="112"/>
      <c r="C9" s="58"/>
      <c r="D9" s="58"/>
      <c r="E9" s="58"/>
      <c r="F9" s="418"/>
      <c r="G9" s="418"/>
      <c r="H9" s="418"/>
      <c r="I9" s="418"/>
      <c r="J9" s="418"/>
    </row>
    <row r="10" spans="1:10" ht="20.100000000000001" customHeight="1">
      <c r="A10" s="110" t="s">
        <v>136</v>
      </c>
      <c r="B10" s="113">
        <v>3000</v>
      </c>
      <c r="C10" s="94"/>
      <c r="D10" s="94"/>
      <c r="E10" s="94"/>
      <c r="F10" s="420"/>
      <c r="G10" s="420"/>
      <c r="H10" s="420"/>
      <c r="I10" s="420"/>
      <c r="J10" s="420"/>
    </row>
    <row r="11" spans="1:10" ht="20.100000000000001" customHeight="1">
      <c r="A11" s="110" t="s">
        <v>137</v>
      </c>
      <c r="B11" s="113">
        <v>3010</v>
      </c>
      <c r="C11" s="94"/>
      <c r="D11" s="94"/>
      <c r="E11" s="94"/>
      <c r="F11" s="420"/>
      <c r="G11" s="420"/>
      <c r="H11" s="420"/>
      <c r="I11" s="420"/>
      <c r="J11" s="420"/>
    </row>
    <row r="12" spans="1:10" ht="20.100000000000001" customHeight="1">
      <c r="A12" s="110" t="s">
        <v>138</v>
      </c>
      <c r="B12" s="113">
        <v>3020</v>
      </c>
      <c r="C12" s="94"/>
      <c r="D12" s="94"/>
      <c r="E12" s="94"/>
      <c r="F12" s="420"/>
      <c r="G12" s="420"/>
      <c r="H12" s="420"/>
      <c r="I12" s="420"/>
      <c r="J12" s="420"/>
    </row>
    <row r="13" spans="1:10" ht="51.75" customHeight="1">
      <c r="A13" s="110" t="s">
        <v>139</v>
      </c>
      <c r="B13" s="113">
        <v>3030</v>
      </c>
      <c r="C13" s="94"/>
      <c r="D13" s="94"/>
      <c r="E13" s="94"/>
      <c r="F13" s="420"/>
      <c r="G13" s="420"/>
      <c r="H13" s="420"/>
      <c r="I13" s="420"/>
      <c r="J13" s="420"/>
    </row>
    <row r="14" spans="1:10" ht="48" customHeight="1">
      <c r="A14" s="109" t="s">
        <v>177</v>
      </c>
      <c r="B14" s="113">
        <v>3040</v>
      </c>
      <c r="C14" s="94"/>
      <c r="D14" s="94"/>
      <c r="E14" s="94"/>
      <c r="F14" s="420"/>
      <c r="G14" s="420"/>
      <c r="H14" s="420"/>
      <c r="I14" s="420"/>
      <c r="J14" s="420"/>
    </row>
    <row r="15" spans="1:10" ht="34.5" customHeight="1">
      <c r="A15" s="110" t="s">
        <v>140</v>
      </c>
      <c r="B15" s="113">
        <v>3050</v>
      </c>
      <c r="C15" s="94"/>
      <c r="D15" s="94"/>
      <c r="E15" s="94"/>
      <c r="F15" s="420"/>
      <c r="G15" s="420"/>
      <c r="H15" s="420"/>
      <c r="I15" s="420"/>
      <c r="J15" s="420"/>
    </row>
    <row r="16" spans="1:10" ht="37.5" customHeight="1">
      <c r="A16" s="110" t="s">
        <v>141</v>
      </c>
      <c r="B16" s="113">
        <v>3060</v>
      </c>
      <c r="C16" s="94"/>
      <c r="D16" s="94"/>
      <c r="E16" s="94"/>
      <c r="F16" s="420"/>
      <c r="G16" s="420"/>
      <c r="H16" s="420"/>
      <c r="I16" s="420"/>
      <c r="J16" s="420"/>
    </row>
    <row r="17" spans="1:10" ht="32.25" customHeight="1">
      <c r="A17" s="109" t="s">
        <v>314</v>
      </c>
      <c r="B17" s="113">
        <v>3070</v>
      </c>
      <c r="C17" s="123">
        <v>12014</v>
      </c>
      <c r="D17" s="123">
        <f t="shared" ref="D17" si="0">D18</f>
        <v>12962.1</v>
      </c>
      <c r="E17" s="123">
        <f>'1.1.Фінансовий результат'!E13</f>
        <v>13410.4</v>
      </c>
      <c r="F17" s="123">
        <f t="shared" ref="F17:J18" si="1">F18</f>
        <v>18975.39</v>
      </c>
      <c r="G17" s="123">
        <f t="shared" si="1"/>
        <v>4057</v>
      </c>
      <c r="H17" s="123">
        <f t="shared" si="1"/>
        <v>4648.3999999999996</v>
      </c>
      <c r="I17" s="123">
        <f t="shared" si="1"/>
        <v>4932.3999999999996</v>
      </c>
      <c r="J17" s="123">
        <f t="shared" si="1"/>
        <v>5337.59</v>
      </c>
    </row>
    <row r="18" spans="1:10" ht="23.25" customHeight="1">
      <c r="A18" s="114" t="s">
        <v>308</v>
      </c>
      <c r="B18" s="113" t="s">
        <v>316</v>
      </c>
      <c r="C18" s="94">
        <v>12014</v>
      </c>
      <c r="D18" s="94">
        <f t="shared" ref="D18:E18" si="2">D19</f>
        <v>12962.1</v>
      </c>
      <c r="E18" s="94">
        <f t="shared" si="2"/>
        <v>13410.4</v>
      </c>
      <c r="F18" s="420">
        <f t="shared" si="1"/>
        <v>18975.39</v>
      </c>
      <c r="G18" s="420">
        <f t="shared" si="1"/>
        <v>4057</v>
      </c>
      <c r="H18" s="420">
        <f t="shared" si="1"/>
        <v>4648.3999999999996</v>
      </c>
      <c r="I18" s="420">
        <f t="shared" si="1"/>
        <v>4932.3999999999996</v>
      </c>
      <c r="J18" s="420">
        <f t="shared" si="1"/>
        <v>5337.59</v>
      </c>
    </row>
    <row r="19" spans="1:10" ht="36.75" customHeight="1">
      <c r="A19" s="147" t="s">
        <v>309</v>
      </c>
      <c r="B19" s="113" t="s">
        <v>319</v>
      </c>
      <c r="C19" s="94">
        <v>12014</v>
      </c>
      <c r="D19" s="94">
        <f>'1.1.Фінансовий результат'!D13</f>
        <v>12962.1</v>
      </c>
      <c r="E19" s="94">
        <f>'1.1.Фінансовий результат'!E13</f>
        <v>13410.4</v>
      </c>
      <c r="F19" s="420">
        <f>'[38]1.1.Фінансовий результат'!F13</f>
        <v>18975.39</v>
      </c>
      <c r="G19" s="420">
        <f>'[38]1.1.Фінансовий результат'!G13</f>
        <v>4057</v>
      </c>
      <c r="H19" s="420">
        <f>'[38]1.1.Фінансовий результат'!H13</f>
        <v>4648.3999999999996</v>
      </c>
      <c r="I19" s="420">
        <f>'[38]1.1.Фінансовий результат'!I13</f>
        <v>4932.3999999999996</v>
      </c>
      <c r="J19" s="420">
        <f>'[38]1.1.Фінансовий результат'!J13</f>
        <v>5337.59</v>
      </c>
    </row>
    <row r="20" spans="1:10" ht="19.5" customHeight="1">
      <c r="A20" s="114" t="s">
        <v>310</v>
      </c>
      <c r="B20" s="113" t="s">
        <v>317</v>
      </c>
      <c r="C20" s="94">
        <v>11981.4</v>
      </c>
      <c r="D20" s="94">
        <v>12934.2</v>
      </c>
      <c r="E20" s="94">
        <f>'1.1.Фінансовий результат'!E110</f>
        <v>13372.299999999997</v>
      </c>
      <c r="F20" s="123">
        <f>'[38]1.1.Фінансовий результат'!F100-F28-F27</f>
        <v>18938.551249999997</v>
      </c>
      <c r="G20" s="123">
        <f>'[38]1.1.Фінансовий результат'!G100-G28-G27</f>
        <v>4041.1999999999994</v>
      </c>
      <c r="H20" s="123">
        <f>'[38]1.1.Фінансовий результат'!H100-H28-H27</f>
        <v>4639.2400000000007</v>
      </c>
      <c r="I20" s="123">
        <f>'[38]1.1.Фінансовий результат'!I100-I28-I27</f>
        <v>4925.9299999999994</v>
      </c>
      <c r="J20" s="123">
        <f>'[38]1.1.Фінансовий результат'!J100-J28-J27</f>
        <v>5332.1812499999996</v>
      </c>
    </row>
    <row r="21" spans="1:10" ht="23.25" customHeight="1">
      <c r="A21" s="147" t="s">
        <v>311</v>
      </c>
      <c r="B21" s="113" t="s">
        <v>320</v>
      </c>
      <c r="C21" s="94">
        <v>4143.5</v>
      </c>
      <c r="D21" s="94">
        <f t="shared" ref="D21" si="3">D20-D22-D23-D24-D25</f>
        <v>3293.8000000000006</v>
      </c>
      <c r="E21" s="94">
        <v>3383.3</v>
      </c>
      <c r="F21" s="420">
        <f t="shared" ref="F21:J21" si="4">F20-F22-F23-F24-F25</f>
        <v>4726.5116099999977</v>
      </c>
      <c r="G21" s="420">
        <f t="shared" si="4"/>
        <v>957.69999999999948</v>
      </c>
      <c r="H21" s="420">
        <f t="shared" si="4"/>
        <v>1402.9000000000005</v>
      </c>
      <c r="I21" s="420">
        <f t="shared" si="4"/>
        <v>1196.2589999999993</v>
      </c>
      <c r="J21" s="420">
        <f t="shared" si="4"/>
        <v>1169.6526099999996</v>
      </c>
    </row>
    <row r="22" spans="1:10" ht="21" customHeight="1">
      <c r="A22" s="147" t="s">
        <v>312</v>
      </c>
      <c r="B22" s="113" t="s">
        <v>321</v>
      </c>
      <c r="C22" s="94">
        <v>5302</v>
      </c>
      <c r="D22" s="148">
        <f>'1.1.Фінансовий результат'!D106</f>
        <v>6675.4</v>
      </c>
      <c r="E22" s="148">
        <f>'1.1.Фінансовий результат'!E106</f>
        <v>6913</v>
      </c>
      <c r="F22" s="148">
        <f>'[38]1.1.Фінансовий результат'!F106</f>
        <v>9987.0829999999987</v>
      </c>
      <c r="G22" s="148">
        <f>'[38]1.1.Фінансовий результат'!G106</f>
        <v>2133.6999999999998</v>
      </c>
      <c r="H22" s="148">
        <f>'[38]1.1.Фінансовий результат'!H106</f>
        <v>2264.3000000000002</v>
      </c>
      <c r="I22" s="148">
        <f>'[38]1.1.Фінансовий результат'!I106</f>
        <v>2619.471</v>
      </c>
      <c r="J22" s="148">
        <f>'[38]1.1.Фінансовий результат'!J106</f>
        <v>2969.6120000000001</v>
      </c>
    </row>
    <row r="23" spans="1:10" ht="19.5" customHeight="1">
      <c r="A23" s="147" t="s">
        <v>3</v>
      </c>
      <c r="B23" s="113" t="s">
        <v>322</v>
      </c>
      <c r="C23" s="94">
        <v>1145</v>
      </c>
      <c r="D23" s="94">
        <f>'1.1.Фінансовий результат'!D107</f>
        <v>1468.6</v>
      </c>
      <c r="E23" s="94">
        <f>'1.1.Фінансовий результат'!E107</f>
        <v>1520.8</v>
      </c>
      <c r="F23" s="420">
        <f>'[38]1.1.Фінансовий результат'!F107</f>
        <v>2163.6166400000002</v>
      </c>
      <c r="G23" s="420">
        <f>'[38]1.1.Фінансовий результат'!G107</f>
        <v>453.2</v>
      </c>
      <c r="H23" s="420">
        <f>'[38]1.1.Фінансовий результат'!H107</f>
        <v>480.8</v>
      </c>
      <c r="I23" s="420">
        <f>'[38]1.1.Фінансовий результат'!I107</f>
        <v>577</v>
      </c>
      <c r="J23" s="420">
        <f>'[38]1.1.Фінансовий результат'!J107</f>
        <v>652.61663999999996</v>
      </c>
    </row>
    <row r="24" spans="1:10" ht="23.25" customHeight="1">
      <c r="A24" s="147" t="s">
        <v>313</v>
      </c>
      <c r="B24" s="113" t="s">
        <v>323</v>
      </c>
      <c r="C24" s="94">
        <v>1325.2</v>
      </c>
      <c r="D24" s="94">
        <f>'2.1Розрахунки з бюджетом'!D22</f>
        <v>1416</v>
      </c>
      <c r="E24" s="94">
        <f>'2.1Розрахунки з бюджетом'!E22</f>
        <v>1473.9</v>
      </c>
      <c r="F24" s="420">
        <f>'[38]2.1Розрахунки з бюджетом'!F22</f>
        <v>2003.3400000000001</v>
      </c>
      <c r="G24" s="420">
        <f>'[38]2.1Розрахунки з бюджетом'!G22</f>
        <v>474.6</v>
      </c>
      <c r="H24" s="420">
        <f>'[38]2.1Розрахунки з бюджетом'!H22</f>
        <v>465.24</v>
      </c>
      <c r="I24" s="420">
        <f>'[38]2.1Розрахунки з бюджетом'!I22</f>
        <v>528.20000000000005</v>
      </c>
      <c r="J24" s="420">
        <f>'[38]2.1Розрахунки з бюджетом'!J22</f>
        <v>535.29999999999995</v>
      </c>
    </row>
    <row r="25" spans="1:10" ht="37.5" customHeight="1">
      <c r="A25" s="147" t="s">
        <v>315</v>
      </c>
      <c r="B25" s="113" t="s">
        <v>324</v>
      </c>
      <c r="C25" s="94">
        <v>59.7</v>
      </c>
      <c r="D25" s="94">
        <f>'2.1Розрахунки з бюджетом'!D20</f>
        <v>80.400000000000006</v>
      </c>
      <c r="E25" s="94">
        <f>'1.1.Фінансовий результат'!E11*0.282</f>
        <v>81.215999999999994</v>
      </c>
      <c r="F25" s="420">
        <f>'[38]2.1Розрахунки з бюджетом'!F20</f>
        <v>58</v>
      </c>
      <c r="G25" s="420">
        <f>'[38]2.1Розрахунки з бюджетом'!G20</f>
        <v>22</v>
      </c>
      <c r="H25" s="420">
        <f>'[38]2.1Розрахунки з бюджетом'!H20</f>
        <v>26</v>
      </c>
      <c r="I25" s="420">
        <f>'[38]2.1Розрахунки з бюджетом'!I20</f>
        <v>5</v>
      </c>
      <c r="J25" s="420">
        <f>'[38]2.1Розрахунки з бюджетом'!J20</f>
        <v>5</v>
      </c>
    </row>
    <row r="26" spans="1:10" ht="26.25" customHeight="1">
      <c r="A26" s="147" t="s">
        <v>318</v>
      </c>
      <c r="B26" s="113" t="s">
        <v>325</v>
      </c>
      <c r="C26" s="94"/>
      <c r="D26" s="94"/>
      <c r="E26" s="94"/>
      <c r="F26" s="420"/>
      <c r="G26" s="420"/>
      <c r="H26" s="420"/>
      <c r="I26" s="420"/>
      <c r="J26" s="420"/>
    </row>
    <row r="27" spans="1:10" ht="20.100000000000001" customHeight="1">
      <c r="A27" s="110" t="s">
        <v>135</v>
      </c>
      <c r="B27" s="113">
        <v>3080</v>
      </c>
      <c r="C27" s="94">
        <v>6</v>
      </c>
      <c r="D27" s="94">
        <f>'2.1Розрахунки з бюджетом'!D19</f>
        <v>5</v>
      </c>
      <c r="E27" s="94">
        <f>'2.1Розрахунки з бюджетом'!E19</f>
        <v>6.8579999999999997</v>
      </c>
      <c r="F27" s="420">
        <f>'[38]1.1.Фінансовий результат'!F96</f>
        <v>7.1821750000000719</v>
      </c>
      <c r="G27" s="420">
        <f>'[38]1.1.Фінансовий результат'!G96</f>
        <v>2.8440000000000856</v>
      </c>
      <c r="H27" s="420">
        <f>'[38]1.1.Фінансовий результат'!H96</f>
        <v>2.2000000000000002</v>
      </c>
      <c r="I27" s="420">
        <f>'[38]1.1.Фінансовий результат'!I96</f>
        <v>1.1645999999999506</v>
      </c>
      <c r="J27" s="420">
        <f>'[38]1.1.Фінансовий результат'!J96</f>
        <v>0.97357500000003605</v>
      </c>
    </row>
    <row r="28" spans="1:10" ht="39" customHeight="1">
      <c r="A28" s="114" t="s">
        <v>120</v>
      </c>
      <c r="B28" s="113">
        <v>3090</v>
      </c>
      <c r="C28" s="123">
        <v>26.7</v>
      </c>
      <c r="D28" s="123">
        <f>D19-D20-D27</f>
        <v>22.899999999999636</v>
      </c>
      <c r="E28" s="123">
        <f>'1.1.Фінансовий результат'!E98</f>
        <v>31.242000000000001</v>
      </c>
      <c r="F28" s="123">
        <f>'[38]1.1.Фінансовий результат'!F98</f>
        <v>29.656574999999727</v>
      </c>
      <c r="G28" s="123">
        <f>'[38]1.1.Фінансовий результат'!G98</f>
        <v>12.95600000000039</v>
      </c>
      <c r="H28" s="123">
        <f>'[38]1.1.Фінансовий результат'!H98</f>
        <v>6.959999999999396</v>
      </c>
      <c r="I28" s="123">
        <f>'[38]1.1.Фінансовий результат'!I98</f>
        <v>5.305399999999775</v>
      </c>
      <c r="J28" s="123">
        <f>'[38]1.1.Фінансовий результат'!J98</f>
        <v>4.4351750000001644</v>
      </c>
    </row>
    <row r="29" spans="1:10" ht="33.75" customHeight="1">
      <c r="A29" s="713" t="s">
        <v>122</v>
      </c>
      <c r="B29" s="713"/>
      <c r="C29" s="713"/>
      <c r="D29" s="713"/>
      <c r="E29" s="713"/>
      <c r="F29" s="713"/>
      <c r="G29" s="713"/>
      <c r="H29" s="713"/>
      <c r="I29" s="713"/>
      <c r="J29" s="713"/>
    </row>
    <row r="30" spans="1:10" ht="21.75" customHeight="1">
      <c r="A30" s="109" t="s">
        <v>190</v>
      </c>
      <c r="B30" s="111"/>
      <c r="C30" s="94"/>
      <c r="D30" s="94"/>
      <c r="E30" s="94"/>
      <c r="F30" s="94"/>
      <c r="G30" s="94"/>
      <c r="H30" s="94"/>
      <c r="I30" s="94"/>
      <c r="J30" s="94"/>
    </row>
    <row r="31" spans="1:10" ht="33.75" customHeight="1">
      <c r="A31" s="67" t="s">
        <v>14</v>
      </c>
      <c r="B31" s="111">
        <v>3200</v>
      </c>
      <c r="C31" s="96"/>
      <c r="D31" s="96"/>
      <c r="E31" s="96"/>
      <c r="F31" s="96"/>
      <c r="G31" s="96"/>
      <c r="H31" s="96"/>
      <c r="I31" s="96"/>
      <c r="J31" s="96"/>
    </row>
    <row r="32" spans="1:10" ht="39" customHeight="1">
      <c r="A32" s="67" t="s">
        <v>15</v>
      </c>
      <c r="B32" s="111">
        <v>3210</v>
      </c>
      <c r="C32" s="96"/>
      <c r="D32" s="96"/>
      <c r="E32" s="96"/>
      <c r="F32" s="140"/>
      <c r="G32" s="96"/>
      <c r="H32" s="96"/>
      <c r="I32" s="96"/>
      <c r="J32" s="96"/>
    </row>
    <row r="33" spans="1:18" ht="32.25" customHeight="1">
      <c r="A33" s="67" t="s">
        <v>36</v>
      </c>
      <c r="B33" s="111">
        <v>3220</v>
      </c>
      <c r="C33" s="96"/>
      <c r="D33" s="96"/>
      <c r="E33" s="96"/>
      <c r="F33" s="96"/>
      <c r="G33" s="96"/>
      <c r="H33" s="96"/>
      <c r="I33" s="96"/>
      <c r="J33" s="96"/>
    </row>
    <row r="34" spans="1:18" ht="20.100000000000001" customHeight="1">
      <c r="A34" s="110"/>
      <c r="B34" s="111"/>
      <c r="C34" s="94"/>
      <c r="D34" s="94"/>
      <c r="E34" s="94"/>
      <c r="F34" s="94"/>
      <c r="G34" s="94"/>
      <c r="H34" s="94"/>
      <c r="I34" s="94"/>
      <c r="J34" s="94"/>
    </row>
    <row r="35" spans="1:18" ht="20.100000000000001" customHeight="1">
      <c r="A35" s="67" t="s">
        <v>126</v>
      </c>
      <c r="B35" s="111">
        <v>3230</v>
      </c>
      <c r="C35" s="96"/>
      <c r="D35" s="96"/>
      <c r="E35" s="96"/>
      <c r="F35" s="96"/>
      <c r="G35" s="96"/>
      <c r="H35" s="96"/>
      <c r="I35" s="96"/>
      <c r="J35" s="96"/>
    </row>
    <row r="36" spans="1:18" ht="20.100000000000001" customHeight="1">
      <c r="A36" s="67" t="s">
        <v>127</v>
      </c>
      <c r="B36" s="111">
        <v>3240</v>
      </c>
      <c r="C36" s="96"/>
      <c r="D36" s="96"/>
      <c r="E36" s="96"/>
      <c r="F36" s="96"/>
      <c r="G36" s="96"/>
      <c r="H36" s="96"/>
      <c r="I36" s="96"/>
      <c r="J36" s="96"/>
    </row>
    <row r="37" spans="1:18" ht="20.100000000000001" customHeight="1">
      <c r="A37" s="110" t="s">
        <v>128</v>
      </c>
      <c r="B37" s="111">
        <v>3250</v>
      </c>
      <c r="C37" s="96"/>
      <c r="D37" s="96"/>
      <c r="E37" s="96"/>
      <c r="F37" s="96"/>
      <c r="G37" s="96"/>
      <c r="H37" s="96"/>
      <c r="I37" s="96"/>
      <c r="J37" s="96"/>
    </row>
    <row r="38" spans="1:18" ht="20.100000000000001" customHeight="1">
      <c r="A38" s="67" t="s">
        <v>96</v>
      </c>
      <c r="B38" s="111">
        <v>3260</v>
      </c>
      <c r="C38" s="96"/>
      <c r="D38" s="96"/>
      <c r="E38" s="96"/>
      <c r="F38" s="96"/>
      <c r="G38" s="96"/>
      <c r="H38" s="96"/>
      <c r="I38" s="96"/>
      <c r="J38" s="96"/>
    </row>
    <row r="39" spans="1:18" ht="20.100000000000001" customHeight="1">
      <c r="A39" s="109" t="s">
        <v>192</v>
      </c>
      <c r="B39" s="111"/>
      <c r="C39" s="94"/>
      <c r="D39" s="94"/>
      <c r="E39" s="94"/>
      <c r="F39" s="94"/>
      <c r="G39" s="94"/>
      <c r="H39" s="94"/>
      <c r="I39" s="94"/>
      <c r="J39" s="94"/>
    </row>
    <row r="40" spans="1:18" ht="33.75" customHeight="1">
      <c r="A40" s="67" t="s">
        <v>97</v>
      </c>
      <c r="B40" s="111">
        <v>3270</v>
      </c>
      <c r="C40" s="96"/>
      <c r="D40" s="96"/>
      <c r="E40" s="96"/>
      <c r="F40" s="96"/>
      <c r="G40" s="96"/>
      <c r="H40" s="96"/>
      <c r="I40" s="96"/>
      <c r="J40" s="96"/>
    </row>
    <row r="41" spans="1:18" ht="36" customHeight="1">
      <c r="A41" s="67" t="s">
        <v>98</v>
      </c>
      <c r="B41" s="111">
        <v>3280</v>
      </c>
      <c r="C41" s="96"/>
      <c r="D41" s="96"/>
      <c r="E41" s="96"/>
      <c r="F41" s="96"/>
      <c r="G41" s="96"/>
      <c r="H41" s="96"/>
      <c r="I41" s="96"/>
      <c r="J41" s="96"/>
    </row>
    <row r="42" spans="1:18" ht="31.5" customHeight="1">
      <c r="A42" s="67" t="s">
        <v>99</v>
      </c>
      <c r="B42" s="111">
        <v>3290</v>
      </c>
      <c r="C42" s="96"/>
      <c r="D42" s="96"/>
      <c r="E42" s="96"/>
      <c r="F42" s="96"/>
      <c r="G42" s="96"/>
      <c r="H42" s="96"/>
      <c r="I42" s="96"/>
      <c r="J42" s="96"/>
    </row>
    <row r="43" spans="1:18" ht="20.100000000000001" customHeight="1">
      <c r="A43" s="67" t="s">
        <v>37</v>
      </c>
      <c r="B43" s="111">
        <v>3300</v>
      </c>
      <c r="C43" s="115"/>
      <c r="D43" s="115"/>
      <c r="E43" s="115"/>
      <c r="F43" s="96"/>
      <c r="G43" s="96"/>
      <c r="H43" s="96"/>
      <c r="I43" s="96"/>
      <c r="J43" s="96"/>
      <c r="R43" s="26"/>
    </row>
    <row r="44" spans="1:18" ht="20.100000000000001" customHeight="1">
      <c r="A44" s="67" t="s">
        <v>90</v>
      </c>
      <c r="B44" s="111">
        <v>3310</v>
      </c>
      <c r="C44" s="96"/>
      <c r="D44" s="96"/>
      <c r="E44" s="96"/>
      <c r="F44" s="96"/>
      <c r="G44" s="96"/>
      <c r="H44" s="96"/>
      <c r="I44" s="96"/>
      <c r="J44" s="96"/>
    </row>
    <row r="45" spans="1:18" ht="38.25" customHeight="1">
      <c r="A45" s="109" t="s">
        <v>123</v>
      </c>
      <c r="B45" s="111">
        <v>3320</v>
      </c>
      <c r="C45" s="96"/>
      <c r="D45" s="96"/>
      <c r="E45" s="96"/>
      <c r="F45" s="96"/>
      <c r="G45" s="96"/>
      <c r="H45" s="96"/>
      <c r="I45" s="96"/>
      <c r="J45" s="96"/>
    </row>
    <row r="46" spans="1:18" ht="36.75" customHeight="1">
      <c r="A46" s="713" t="s">
        <v>124</v>
      </c>
      <c r="B46" s="713"/>
      <c r="C46" s="713"/>
      <c r="D46" s="713"/>
      <c r="E46" s="713"/>
      <c r="F46" s="713"/>
      <c r="G46" s="713"/>
      <c r="H46" s="713"/>
      <c r="I46" s="713"/>
      <c r="J46" s="713"/>
    </row>
    <row r="47" spans="1:18" ht="20.100000000000001" customHeight="1">
      <c r="A47" s="109" t="s">
        <v>191</v>
      </c>
      <c r="B47" s="111"/>
      <c r="C47" s="58"/>
      <c r="D47" s="58"/>
      <c r="E47" s="58"/>
      <c r="F47" s="123">
        <f>G47+H47+I47+J47</f>
        <v>5.7</v>
      </c>
      <c r="G47" s="123">
        <f>G48+G49+G53+G57+G58</f>
        <v>0</v>
      </c>
      <c r="H47" s="123">
        <f>H48+H49+H53+H57+H58</f>
        <v>5.7</v>
      </c>
      <c r="I47" s="123">
        <f>I48+I49+I53+I57+I58</f>
        <v>0</v>
      </c>
      <c r="J47" s="123">
        <f>J48+J49+J53+J57+J58</f>
        <v>0</v>
      </c>
    </row>
    <row r="48" spans="1:18" ht="20.25" customHeight="1">
      <c r="A48" s="110" t="s">
        <v>129</v>
      </c>
      <c r="B48" s="111">
        <v>3400</v>
      </c>
      <c r="C48" s="94"/>
      <c r="D48" s="94"/>
      <c r="E48" s="94"/>
      <c r="F48" s="420"/>
      <c r="G48" s="420"/>
      <c r="H48" s="420"/>
      <c r="I48" s="420"/>
      <c r="J48" s="420"/>
    </row>
    <row r="49" spans="1:10" ht="47.25" customHeight="1">
      <c r="A49" s="67" t="s">
        <v>73</v>
      </c>
      <c r="B49" s="116"/>
      <c r="C49" s="58"/>
      <c r="D49" s="58"/>
      <c r="E49" s="58"/>
      <c r="F49" s="418"/>
      <c r="G49" s="418"/>
      <c r="H49" s="418"/>
      <c r="I49" s="418"/>
      <c r="J49" s="418"/>
    </row>
    <row r="50" spans="1:10" ht="20.100000000000001" customHeight="1">
      <c r="A50" s="67" t="s">
        <v>72</v>
      </c>
      <c r="B50" s="111">
        <v>3410</v>
      </c>
      <c r="C50" s="94"/>
      <c r="D50" s="94"/>
      <c r="E50" s="94"/>
      <c r="F50" s="420"/>
      <c r="G50" s="420"/>
      <c r="H50" s="420"/>
      <c r="I50" s="420"/>
      <c r="J50" s="420"/>
    </row>
    <row r="51" spans="1:10" ht="20.100000000000001" customHeight="1">
      <c r="A51" s="67" t="s">
        <v>77</v>
      </c>
      <c r="B51" s="113">
        <v>3420</v>
      </c>
      <c r="C51" s="94"/>
      <c r="D51" s="94"/>
      <c r="E51" s="94"/>
      <c r="F51" s="420"/>
      <c r="G51" s="420"/>
      <c r="H51" s="420"/>
      <c r="I51" s="420"/>
      <c r="J51" s="420"/>
    </row>
    <row r="52" spans="1:10" ht="20.100000000000001" customHeight="1">
      <c r="A52" s="67" t="s">
        <v>100</v>
      </c>
      <c r="B52" s="111">
        <v>3430</v>
      </c>
      <c r="C52" s="94"/>
      <c r="D52" s="94"/>
      <c r="E52" s="94"/>
      <c r="F52" s="420"/>
      <c r="G52" s="420"/>
      <c r="H52" s="420"/>
      <c r="I52" s="420"/>
      <c r="J52" s="420"/>
    </row>
    <row r="53" spans="1:10" ht="48.75" customHeight="1">
      <c r="A53" s="67" t="s">
        <v>75</v>
      </c>
      <c r="B53" s="111"/>
      <c r="C53" s="58"/>
      <c r="D53" s="58"/>
      <c r="E53" s="58"/>
      <c r="F53" s="420">
        <f>G53+H53+I53+J53</f>
        <v>5.7</v>
      </c>
      <c r="G53" s="418"/>
      <c r="H53" s="420">
        <v>5.7</v>
      </c>
      <c r="I53" s="418"/>
      <c r="J53" s="418"/>
    </row>
    <row r="54" spans="1:10" ht="20.100000000000001" customHeight="1">
      <c r="A54" s="67" t="s">
        <v>72</v>
      </c>
      <c r="B54" s="113">
        <v>3440</v>
      </c>
      <c r="C54" s="94"/>
      <c r="D54" s="94"/>
      <c r="E54" s="94"/>
      <c r="F54" s="420"/>
      <c r="G54" s="420"/>
      <c r="H54" s="420"/>
      <c r="I54" s="420"/>
      <c r="J54" s="420"/>
    </row>
    <row r="55" spans="1:10" ht="20.100000000000001" customHeight="1">
      <c r="A55" s="67" t="s">
        <v>77</v>
      </c>
      <c r="B55" s="113">
        <v>3450</v>
      </c>
      <c r="C55" s="94"/>
      <c r="D55" s="94"/>
      <c r="E55" s="94"/>
      <c r="F55" s="420"/>
      <c r="G55" s="420"/>
      <c r="H55" s="420"/>
      <c r="I55" s="420"/>
      <c r="J55" s="420"/>
    </row>
    <row r="56" spans="1:10" ht="20.100000000000001" customHeight="1">
      <c r="A56" s="67" t="s">
        <v>100</v>
      </c>
      <c r="B56" s="113">
        <v>3460</v>
      </c>
      <c r="C56" s="94"/>
      <c r="D56" s="94"/>
      <c r="E56" s="94"/>
      <c r="F56" s="420"/>
      <c r="G56" s="420"/>
      <c r="H56" s="420"/>
      <c r="I56" s="420"/>
      <c r="J56" s="420"/>
    </row>
    <row r="57" spans="1:10" ht="20.100000000000001" customHeight="1">
      <c r="A57" s="67" t="s">
        <v>95</v>
      </c>
      <c r="B57" s="113">
        <v>3470</v>
      </c>
      <c r="C57" s="94"/>
      <c r="D57" s="94"/>
      <c r="E57" s="94"/>
      <c r="F57" s="420"/>
      <c r="G57" s="420"/>
      <c r="H57" s="420"/>
      <c r="I57" s="420"/>
      <c r="J57" s="420"/>
    </row>
    <row r="58" spans="1:10" ht="24" customHeight="1">
      <c r="A58" s="67" t="s">
        <v>96</v>
      </c>
      <c r="B58" s="113">
        <v>3480</v>
      </c>
      <c r="C58" s="94"/>
      <c r="D58" s="94"/>
      <c r="E58" s="94"/>
      <c r="F58" s="420"/>
      <c r="G58" s="420"/>
      <c r="H58" s="420"/>
      <c r="I58" s="420"/>
      <c r="J58" s="420"/>
    </row>
    <row r="59" spans="1:10" ht="20.100000000000001" customHeight="1">
      <c r="A59" s="109" t="s">
        <v>192</v>
      </c>
      <c r="B59" s="111"/>
      <c r="C59" s="58"/>
      <c r="D59" s="58"/>
      <c r="E59" s="58"/>
      <c r="F59" s="418"/>
      <c r="G59" s="418"/>
      <c r="H59" s="418"/>
      <c r="I59" s="418"/>
      <c r="J59" s="418"/>
    </row>
    <row r="60" spans="1:10" ht="51.75" customHeight="1">
      <c r="A60" s="67" t="s">
        <v>205</v>
      </c>
      <c r="B60" s="111">
        <v>3490</v>
      </c>
      <c r="C60" s="94"/>
      <c r="D60" s="94"/>
      <c r="E60" s="94"/>
      <c r="F60" s="420"/>
      <c r="G60" s="420"/>
      <c r="H60" s="420"/>
      <c r="I60" s="420"/>
      <c r="J60" s="420"/>
    </row>
    <row r="61" spans="1:10" ht="33" customHeight="1">
      <c r="A61" s="67" t="s">
        <v>206</v>
      </c>
      <c r="B61" s="111">
        <v>3500</v>
      </c>
      <c r="C61" s="94"/>
      <c r="D61" s="94"/>
      <c r="E61" s="94"/>
      <c r="F61" s="420"/>
      <c r="G61" s="420"/>
      <c r="H61" s="420"/>
      <c r="I61" s="420"/>
      <c r="J61" s="420"/>
    </row>
    <row r="62" spans="1:10" ht="45" customHeight="1">
      <c r="A62" s="67" t="s">
        <v>76</v>
      </c>
      <c r="B62" s="111"/>
      <c r="C62" s="58"/>
      <c r="D62" s="58"/>
      <c r="E62" s="58"/>
      <c r="F62" s="418"/>
      <c r="G62" s="418"/>
      <c r="H62" s="418"/>
      <c r="I62" s="418"/>
      <c r="J62" s="418"/>
    </row>
    <row r="63" spans="1:10" ht="20.100000000000001" customHeight="1">
      <c r="A63" s="67" t="s">
        <v>72</v>
      </c>
      <c r="B63" s="113">
        <v>3510</v>
      </c>
      <c r="C63" s="94"/>
      <c r="D63" s="94"/>
      <c r="E63" s="94"/>
      <c r="F63" s="420"/>
      <c r="G63" s="420"/>
      <c r="H63" s="420"/>
      <c r="I63" s="420"/>
      <c r="J63" s="420"/>
    </row>
    <row r="64" spans="1:10" ht="20.100000000000001" customHeight="1">
      <c r="A64" s="67" t="s">
        <v>77</v>
      </c>
      <c r="B64" s="113">
        <v>3520</v>
      </c>
      <c r="C64" s="94"/>
      <c r="D64" s="94"/>
      <c r="E64" s="94"/>
      <c r="F64" s="420"/>
      <c r="G64" s="420"/>
      <c r="H64" s="420"/>
      <c r="I64" s="420"/>
      <c r="J64" s="420"/>
    </row>
    <row r="65" spans="1:10" ht="20.100000000000001" customHeight="1">
      <c r="A65" s="67" t="s">
        <v>100</v>
      </c>
      <c r="B65" s="113">
        <v>3530</v>
      </c>
      <c r="C65" s="94"/>
      <c r="D65" s="94"/>
      <c r="E65" s="94"/>
      <c r="F65" s="420"/>
      <c r="G65" s="420"/>
      <c r="H65" s="420"/>
      <c r="I65" s="420"/>
      <c r="J65" s="420"/>
    </row>
    <row r="66" spans="1:10" ht="51.75" customHeight="1">
      <c r="A66" s="67" t="s">
        <v>74</v>
      </c>
      <c r="B66" s="111"/>
      <c r="C66" s="58"/>
      <c r="D66" s="58"/>
      <c r="E66" s="58"/>
      <c r="F66" s="418"/>
      <c r="G66" s="418"/>
      <c r="H66" s="418"/>
      <c r="I66" s="418"/>
      <c r="J66" s="418"/>
    </row>
    <row r="67" spans="1:10" ht="20.100000000000001" customHeight="1">
      <c r="A67" s="67" t="s">
        <v>72</v>
      </c>
      <c r="B67" s="113">
        <v>3540</v>
      </c>
      <c r="C67" s="94"/>
      <c r="D67" s="94"/>
      <c r="E67" s="94"/>
      <c r="F67" s="420"/>
      <c r="G67" s="420"/>
      <c r="H67" s="420"/>
      <c r="I67" s="420"/>
      <c r="J67" s="420"/>
    </row>
    <row r="68" spans="1:10" ht="20.100000000000001" customHeight="1">
      <c r="A68" s="67" t="s">
        <v>77</v>
      </c>
      <c r="B68" s="113">
        <v>3550</v>
      </c>
      <c r="C68" s="94"/>
      <c r="D68" s="94"/>
      <c r="E68" s="94"/>
      <c r="F68" s="420"/>
      <c r="G68" s="420"/>
      <c r="H68" s="420"/>
      <c r="I68" s="420"/>
      <c r="J68" s="420"/>
    </row>
    <row r="69" spans="1:10" ht="20.100000000000001" customHeight="1">
      <c r="A69" s="67" t="s">
        <v>100</v>
      </c>
      <c r="B69" s="113">
        <v>3560</v>
      </c>
      <c r="C69" s="94"/>
      <c r="D69" s="94"/>
      <c r="E69" s="94"/>
      <c r="F69" s="420"/>
      <c r="G69" s="420"/>
      <c r="H69" s="420"/>
      <c r="I69" s="420"/>
      <c r="J69" s="420"/>
    </row>
    <row r="70" spans="1:10" ht="20.100000000000001" customHeight="1">
      <c r="A70" s="67" t="s">
        <v>90</v>
      </c>
      <c r="B70" s="113">
        <v>3570</v>
      </c>
      <c r="C70" s="94"/>
      <c r="D70" s="94"/>
      <c r="E70" s="94"/>
      <c r="F70" s="420"/>
      <c r="G70" s="420"/>
      <c r="H70" s="420"/>
      <c r="I70" s="420"/>
      <c r="J70" s="420"/>
    </row>
    <row r="71" spans="1:10" ht="36" customHeight="1">
      <c r="A71" s="109" t="s">
        <v>125</v>
      </c>
      <c r="B71" s="113">
        <v>3580</v>
      </c>
      <c r="C71" s="94"/>
      <c r="D71" s="94"/>
      <c r="E71" s="94"/>
      <c r="F71" s="420">
        <f>G71+H71+I71+J71</f>
        <v>5.7</v>
      </c>
      <c r="G71" s="420">
        <v>0</v>
      </c>
      <c r="H71" s="420">
        <f>H47-H59</f>
        <v>5.7</v>
      </c>
      <c r="I71" s="420">
        <f>I47-I59</f>
        <v>0</v>
      </c>
      <c r="J71" s="420">
        <f>J47-J59</f>
        <v>0</v>
      </c>
    </row>
    <row r="72" spans="1:10" s="14" customFormat="1" ht="20.100000000000001" customHeight="1">
      <c r="A72" s="67" t="s">
        <v>16</v>
      </c>
      <c r="B72" s="113"/>
      <c r="C72" s="94">
        <v>196</v>
      </c>
      <c r="D72" s="94">
        <f t="shared" ref="D72" si="5">D73+D75</f>
        <v>142.9</v>
      </c>
      <c r="E72" s="94">
        <f>E73+E75</f>
        <v>282</v>
      </c>
      <c r="F72" s="420">
        <f t="shared" ref="F72" si="6">F73+F75</f>
        <v>925.65657499999975</v>
      </c>
      <c r="G72" s="420">
        <f>G73+G75</f>
        <v>908.95600000000036</v>
      </c>
      <c r="H72" s="420">
        <f>H73+H75</f>
        <v>928.97200000000021</v>
      </c>
      <c r="I72" s="420">
        <f>I73+I75</f>
        <v>941.33739999999943</v>
      </c>
      <c r="J72" s="420">
        <f>J73+J75</f>
        <v>950.97797499999945</v>
      </c>
    </row>
    <row r="73" spans="1:10" s="80" customFormat="1" ht="20.100000000000001" customHeight="1">
      <c r="A73" s="117" t="s">
        <v>17</v>
      </c>
      <c r="B73" s="118">
        <v>3600</v>
      </c>
      <c r="C73" s="119">
        <v>59</v>
      </c>
      <c r="D73" s="119">
        <v>60</v>
      </c>
      <c r="E73" s="119">
        <v>137</v>
      </c>
      <c r="F73" s="119">
        <v>448</v>
      </c>
      <c r="G73" s="119">
        <v>448</v>
      </c>
      <c r="H73" s="119">
        <f>G75</f>
        <v>460.95600000000042</v>
      </c>
      <c r="I73" s="119">
        <f>H75</f>
        <v>468.01599999999985</v>
      </c>
      <c r="J73" s="119">
        <f>I75</f>
        <v>473.32139999999964</v>
      </c>
    </row>
    <row r="74" spans="1:10" s="14" customFormat="1" ht="38.25" customHeight="1">
      <c r="A74" s="120" t="s">
        <v>130</v>
      </c>
      <c r="B74" s="113">
        <v>3610</v>
      </c>
      <c r="C74" s="121"/>
      <c r="D74" s="121"/>
      <c r="E74" s="121"/>
      <c r="F74" s="121"/>
      <c r="G74" s="121"/>
      <c r="H74" s="121"/>
      <c r="I74" s="121"/>
      <c r="J74" s="121"/>
    </row>
    <row r="75" spans="1:10" s="80" customFormat="1" ht="20.100000000000001" customHeight="1">
      <c r="A75" s="117" t="s">
        <v>38</v>
      </c>
      <c r="B75" s="118">
        <v>3620</v>
      </c>
      <c r="C75" s="119">
        <v>137</v>
      </c>
      <c r="D75" s="119">
        <v>82.9</v>
      </c>
      <c r="E75" s="119">
        <v>145</v>
      </c>
      <c r="F75" s="119">
        <f t="shared" ref="F75:I75" si="7">F76+F73+F74</f>
        <v>477.65657499999975</v>
      </c>
      <c r="G75" s="119">
        <f t="shared" si="7"/>
        <v>460.95600000000042</v>
      </c>
      <c r="H75" s="119">
        <f>H76+H73+H74+0.1</f>
        <v>468.01599999999985</v>
      </c>
      <c r="I75" s="119">
        <f t="shared" si="7"/>
        <v>473.32139999999964</v>
      </c>
      <c r="J75" s="119">
        <f>J76+J73+J74-0.1</f>
        <v>477.6565749999998</v>
      </c>
    </row>
    <row r="76" spans="1:10" s="14" customFormat="1" ht="24" customHeight="1">
      <c r="A76" s="114" t="s">
        <v>18</v>
      </c>
      <c r="B76" s="122">
        <v>3630</v>
      </c>
      <c r="C76" s="123">
        <v>26.7</v>
      </c>
      <c r="D76" s="123">
        <v>22.9</v>
      </c>
      <c r="E76" s="123">
        <f>'1.1.Фінансовий результат'!E98</f>
        <v>31.242000000000001</v>
      </c>
      <c r="F76" s="123">
        <f>'[38]1.1.Фінансовий результат'!F98</f>
        <v>29.656574999999727</v>
      </c>
      <c r="G76" s="123">
        <f>'[38]1.1.Фінансовий результат'!G98</f>
        <v>12.95600000000039</v>
      </c>
      <c r="H76" s="123">
        <f>'[38]1.1.Фінансовий результат'!H98</f>
        <v>6.959999999999396</v>
      </c>
      <c r="I76" s="123">
        <f>'[38]1.1.Фінансовий результат'!I98</f>
        <v>5.305399999999775</v>
      </c>
      <c r="J76" s="123">
        <f>'[38]1.1.Фінансовий результат'!J98</f>
        <v>4.4351750000001644</v>
      </c>
    </row>
    <row r="77" spans="1:10" s="14" customFormat="1" ht="20.100000000000001" customHeight="1">
      <c r="A77" s="16"/>
      <c r="B77" s="124"/>
      <c r="C77" s="125"/>
      <c r="D77" s="125"/>
      <c r="E77" s="125"/>
      <c r="F77" s="126"/>
      <c r="G77" s="127"/>
      <c r="H77" s="127"/>
      <c r="I77" s="127"/>
      <c r="J77" s="127"/>
    </row>
    <row r="78" spans="1:10" s="14" customFormat="1" ht="20.100000000000001" customHeight="1">
      <c r="A78" s="16"/>
      <c r="B78" s="124"/>
      <c r="C78" s="125"/>
      <c r="D78" s="125"/>
      <c r="E78" s="125"/>
      <c r="F78" s="126"/>
      <c r="G78" s="127"/>
      <c r="H78" s="127"/>
      <c r="I78" s="127"/>
      <c r="J78" s="127"/>
    </row>
    <row r="79" spans="1:10" s="3" customFormat="1" ht="20.100000000000001" customHeight="1">
      <c r="A79" s="128" t="s">
        <v>272</v>
      </c>
      <c r="B79" s="129"/>
      <c r="C79" s="569" t="s">
        <v>85</v>
      </c>
      <c r="D79" s="569"/>
      <c r="E79" s="569"/>
      <c r="F79" s="570"/>
      <c r="G79" s="130"/>
      <c r="H79" s="566" t="s">
        <v>330</v>
      </c>
      <c r="I79" s="566"/>
      <c r="J79" s="566"/>
    </row>
    <row r="80" spans="1:10" ht="20.100000000000001" customHeight="1">
      <c r="A80" s="132" t="s">
        <v>199</v>
      </c>
      <c r="B80" s="131"/>
      <c r="C80" s="566" t="s">
        <v>62</v>
      </c>
      <c r="D80" s="566"/>
      <c r="E80" s="566"/>
      <c r="F80" s="566"/>
      <c r="G80" s="133"/>
      <c r="H80" s="593" t="s">
        <v>81</v>
      </c>
      <c r="I80" s="593"/>
      <c r="J80" s="593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</sheetData>
  <mergeCells count="15">
    <mergeCell ref="C80:F80"/>
    <mergeCell ref="H80:J80"/>
    <mergeCell ref="A29:J29"/>
    <mergeCell ref="A7:J7"/>
    <mergeCell ref="A46:J46"/>
    <mergeCell ref="C79:F79"/>
    <mergeCell ref="H79:J79"/>
    <mergeCell ref="A2:J2"/>
    <mergeCell ref="A4:A5"/>
    <mergeCell ref="B4:B5"/>
    <mergeCell ref="C4:C5"/>
    <mergeCell ref="F4:F5"/>
    <mergeCell ref="G4:J4"/>
    <mergeCell ref="D4:D5"/>
    <mergeCell ref="E4:E5"/>
  </mergeCells>
  <phoneticPr fontId="3" type="noConversion"/>
  <pageMargins left="0.70866141732283472" right="0.19685039370078741" top="0.78740157480314965" bottom="0.78740157480314965" header="0.19685039370078741" footer="0.23622047244094491"/>
  <pageSetup paperSize="9" scale="50" fitToHeight="0" orientation="portrait" r:id="rId1"/>
  <headerFooter alignWithMargins="0">
    <oddHeader>&amp;C&amp;"Times New Roman,обычный"&amp;14 9&amp;R&amp;"Times New Roman,обычный"&amp;14Продовження додатка 1</oddHeader>
  </headerFooter>
  <rowBreaks count="1" manualBreakCount="1">
    <brk id="5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Q192"/>
  <sheetViews>
    <sheetView view="pageBreakPreview" zoomScale="50" zoomScaleNormal="57" zoomScaleSheetLayoutView="50" workbookViewId="0">
      <selection activeCell="G20" sqref="G20"/>
    </sheetView>
  </sheetViews>
  <sheetFormatPr defaultRowHeight="18.75" outlineLevelRow="1" outlineLevelCol="1"/>
  <cols>
    <col min="1" max="1" width="53.7109375" style="3" customWidth="1"/>
    <col min="2" max="2" width="10.42578125" style="21" customWidth="1"/>
    <col min="3" max="3" width="11.42578125" style="21" hidden="1" customWidth="1" outlineLevel="1"/>
    <col min="4" max="5" width="13.7109375" style="21" hidden="1" customWidth="1" outlineLevel="1"/>
    <col min="6" max="6" width="13.7109375" style="3" customWidth="1" collapsed="1"/>
    <col min="7" max="7" width="12.7109375" style="3" customWidth="1"/>
    <col min="8" max="8" width="13" style="3" customWidth="1"/>
    <col min="9" max="9" width="11.7109375" style="3" customWidth="1"/>
    <col min="10" max="10" width="12.140625" style="3" customWidth="1"/>
    <col min="11" max="11" width="9.5703125" style="3" customWidth="1"/>
    <col min="12" max="12" width="9.85546875" style="3" customWidth="1"/>
    <col min="13" max="16384" width="9.140625" style="3"/>
  </cols>
  <sheetData>
    <row r="3" spans="1:17">
      <c r="A3" s="550" t="s">
        <v>164</v>
      </c>
      <c r="B3" s="550"/>
      <c r="C3" s="550"/>
      <c r="D3" s="550"/>
      <c r="E3" s="550"/>
      <c r="F3" s="550"/>
      <c r="G3" s="550"/>
      <c r="H3" s="550"/>
      <c r="I3" s="550"/>
      <c r="J3" s="550"/>
    </row>
    <row r="4" spans="1:17">
      <c r="A4" s="620"/>
      <c r="B4" s="620"/>
      <c r="C4" s="620"/>
      <c r="D4" s="620"/>
      <c r="E4" s="620"/>
      <c r="F4" s="620"/>
      <c r="G4" s="620"/>
      <c r="H4" s="620"/>
      <c r="I4" s="620"/>
      <c r="J4" s="620"/>
    </row>
    <row r="5" spans="1:17" ht="43.5" customHeight="1">
      <c r="A5" s="545" t="s">
        <v>186</v>
      </c>
      <c r="B5" s="605" t="s">
        <v>5</v>
      </c>
      <c r="C5" s="605" t="s">
        <v>390</v>
      </c>
      <c r="D5" s="605" t="s">
        <v>385</v>
      </c>
      <c r="E5" s="605" t="s">
        <v>383</v>
      </c>
      <c r="F5" s="605" t="s">
        <v>107</v>
      </c>
      <c r="G5" s="606" t="s">
        <v>271</v>
      </c>
      <c r="H5" s="606"/>
      <c r="I5" s="606"/>
      <c r="J5" s="606"/>
    </row>
    <row r="6" spans="1:17" ht="33" customHeight="1">
      <c r="A6" s="545"/>
      <c r="B6" s="605"/>
      <c r="C6" s="605"/>
      <c r="D6" s="605"/>
      <c r="E6" s="605"/>
      <c r="F6" s="605"/>
      <c r="G6" s="13" t="s">
        <v>144</v>
      </c>
      <c r="H6" s="13" t="s">
        <v>145</v>
      </c>
      <c r="I6" s="13" t="s">
        <v>146</v>
      </c>
      <c r="J6" s="13" t="s">
        <v>55</v>
      </c>
    </row>
    <row r="7" spans="1:17" ht="18" customHeight="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7" s="5" customFormat="1" ht="42.75" customHeight="1">
      <c r="A8" s="75" t="s">
        <v>64</v>
      </c>
      <c r="B8" s="81">
        <v>4000</v>
      </c>
      <c r="C8" s="87">
        <f>C9+C10+C19+C20+C18</f>
        <v>495</v>
      </c>
      <c r="D8" s="87">
        <f>D10+D20+D9+D18</f>
        <v>0</v>
      </c>
      <c r="E8" s="87">
        <f>E10+E9</f>
        <v>0</v>
      </c>
      <c r="F8" s="87">
        <f>F10</f>
        <v>8733.9</v>
      </c>
      <c r="G8" s="170">
        <f>G9+G10</f>
        <v>0</v>
      </c>
      <c r="H8" s="87">
        <f>H10</f>
        <v>4218.8999999999996</v>
      </c>
      <c r="I8" s="170">
        <f>I10</f>
        <v>0</v>
      </c>
      <c r="J8" s="170">
        <v>0</v>
      </c>
    </row>
    <row r="9" spans="1:17" ht="32.25" customHeight="1">
      <c r="A9" s="225" t="s">
        <v>326</v>
      </c>
      <c r="B9" s="53" t="s">
        <v>170</v>
      </c>
      <c r="C9" s="172">
        <v>0</v>
      </c>
      <c r="D9" s="172">
        <v>0</v>
      </c>
      <c r="E9" s="17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</row>
    <row r="10" spans="1:17" ht="37.5" customHeight="1">
      <c r="A10" s="253" t="s">
        <v>367</v>
      </c>
      <c r="B10" s="52">
        <v>4020</v>
      </c>
      <c r="C10" s="172">
        <v>0</v>
      </c>
      <c r="D10" s="172">
        <v>0</v>
      </c>
      <c r="E10" s="172">
        <f>E15+E16</f>
        <v>0</v>
      </c>
      <c r="F10" s="82">
        <f>F15+F11+F12+F14+F13+F16+F17</f>
        <v>8733.9</v>
      </c>
      <c r="G10" s="82">
        <f>G15+G11+G12+G14+G13+G16+G17</f>
        <v>0</v>
      </c>
      <c r="H10" s="82">
        <f t="shared" ref="H10:J10" si="0">H15+H11+H12+H14+H13+H16+H17</f>
        <v>4218.8999999999996</v>
      </c>
      <c r="I10" s="82">
        <f t="shared" si="0"/>
        <v>0</v>
      </c>
      <c r="J10" s="82">
        <f t="shared" si="0"/>
        <v>4515</v>
      </c>
      <c r="Q10" s="18"/>
    </row>
    <row r="11" spans="1:17" s="417" customFormat="1" ht="24" customHeight="1">
      <c r="A11" s="250" t="s">
        <v>538</v>
      </c>
      <c r="B11" s="53" t="s">
        <v>328</v>
      </c>
      <c r="C11" s="172"/>
      <c r="D11" s="172"/>
      <c r="E11" s="172"/>
      <c r="F11" s="450">
        <f>G11+H11+I11+J11</f>
        <v>1746</v>
      </c>
      <c r="G11" s="450"/>
      <c r="H11" s="450">
        <v>1746</v>
      </c>
      <c r="I11" s="450"/>
      <c r="J11" s="450"/>
      <c r="Q11" s="18"/>
    </row>
    <row r="12" spans="1:17" s="417" customFormat="1" ht="37.5" customHeight="1">
      <c r="A12" s="250" t="s">
        <v>407</v>
      </c>
      <c r="B12" s="53" t="s">
        <v>375</v>
      </c>
      <c r="C12" s="172"/>
      <c r="D12" s="172"/>
      <c r="E12" s="172"/>
      <c r="F12" s="450">
        <f t="shared" ref="F12:F13" si="1">G12+H12+I12+J12</f>
        <v>474.9</v>
      </c>
      <c r="G12" s="450"/>
      <c r="H12" s="450">
        <v>474.9</v>
      </c>
      <c r="I12" s="450"/>
      <c r="J12" s="450"/>
      <c r="Q12" s="18"/>
    </row>
    <row r="13" spans="1:17" s="417" customFormat="1" ht="24" customHeight="1">
      <c r="A13" s="252" t="s">
        <v>539</v>
      </c>
      <c r="B13" s="53" t="s">
        <v>409</v>
      </c>
      <c r="C13" s="172"/>
      <c r="D13" s="172"/>
      <c r="E13" s="172"/>
      <c r="F13" s="450">
        <f t="shared" si="1"/>
        <v>1998</v>
      </c>
      <c r="G13" s="451"/>
      <c r="H13" s="451">
        <v>1998</v>
      </c>
      <c r="I13" s="451"/>
      <c r="J13" s="451"/>
      <c r="Q13" s="18"/>
    </row>
    <row r="14" spans="1:17" s="417" customFormat="1" ht="72.75" customHeight="1">
      <c r="A14" s="251" t="s">
        <v>408</v>
      </c>
      <c r="B14" s="53" t="s">
        <v>410</v>
      </c>
      <c r="C14" s="90"/>
      <c r="D14" s="90"/>
      <c r="E14" s="90">
        <v>0</v>
      </c>
      <c r="F14" s="422">
        <v>945</v>
      </c>
      <c r="G14" s="422">
        <v>0</v>
      </c>
      <c r="H14" s="422">
        <v>0</v>
      </c>
      <c r="I14" s="422">
        <v>0</v>
      </c>
      <c r="J14" s="422">
        <v>945</v>
      </c>
      <c r="Q14" s="18"/>
    </row>
    <row r="15" spans="1:17" ht="37.5" customHeight="1">
      <c r="A15" s="250" t="s">
        <v>378</v>
      </c>
      <c r="B15" s="53" t="s">
        <v>533</v>
      </c>
      <c r="C15" s="172"/>
      <c r="D15" s="172"/>
      <c r="E15" s="90">
        <v>0</v>
      </c>
      <c r="F15" s="422">
        <f>G15+H15+I15+J15</f>
        <v>0</v>
      </c>
      <c r="G15" s="422">
        <v>0</v>
      </c>
      <c r="H15" s="422">
        <v>0</v>
      </c>
      <c r="I15" s="422">
        <v>0</v>
      </c>
      <c r="J15" s="422">
        <v>0</v>
      </c>
      <c r="Q15" s="18"/>
    </row>
    <row r="16" spans="1:17" ht="36" customHeight="1">
      <c r="A16" s="147" t="s">
        <v>540</v>
      </c>
      <c r="B16" s="53" t="s">
        <v>541</v>
      </c>
      <c r="C16" s="90"/>
      <c r="D16" s="90"/>
      <c r="E16" s="90">
        <v>0</v>
      </c>
      <c r="F16" s="450">
        <f t="shared" ref="F16:F17" si="2">G16+H16+I16+J16</f>
        <v>1890</v>
      </c>
      <c r="G16" s="452"/>
      <c r="H16" s="452"/>
      <c r="I16" s="452"/>
      <c r="J16" s="422">
        <v>1890</v>
      </c>
      <c r="Q16" s="18"/>
    </row>
    <row r="17" spans="1:17" ht="46.5" customHeight="1">
      <c r="A17" s="147" t="s">
        <v>542</v>
      </c>
      <c r="B17" s="53" t="s">
        <v>543</v>
      </c>
      <c r="C17" s="3"/>
      <c r="D17" s="3"/>
      <c r="E17" s="3"/>
      <c r="F17" s="450">
        <f t="shared" si="2"/>
        <v>1680</v>
      </c>
      <c r="G17" s="452"/>
      <c r="H17" s="452"/>
      <c r="I17" s="452"/>
      <c r="J17" s="450">
        <v>1680</v>
      </c>
      <c r="Q17" s="18"/>
    </row>
    <row r="18" spans="1:17" ht="41.25" customHeight="1">
      <c r="A18" s="253" t="s">
        <v>13</v>
      </c>
      <c r="B18" s="53">
        <v>4030</v>
      </c>
      <c r="C18" s="172">
        <v>0</v>
      </c>
      <c r="D18" s="172">
        <v>0</v>
      </c>
      <c r="E18" s="172">
        <v>0</v>
      </c>
      <c r="F18" s="82">
        <v>0</v>
      </c>
      <c r="G18" s="82"/>
      <c r="H18" s="82"/>
      <c r="I18" s="82"/>
      <c r="J18" s="82"/>
      <c r="P18" s="18"/>
    </row>
    <row r="19" spans="1:17" ht="36.75" customHeight="1">
      <c r="A19" s="253" t="s">
        <v>1</v>
      </c>
      <c r="B19" s="52">
        <v>4040</v>
      </c>
      <c r="C19" s="172"/>
      <c r="D19" s="82" t="s">
        <v>363</v>
      </c>
      <c r="E19" s="82"/>
      <c r="F19" s="82"/>
      <c r="G19" s="82"/>
      <c r="H19" s="82"/>
      <c r="I19" s="82"/>
      <c r="J19" s="82"/>
    </row>
    <row r="20" spans="1:17" ht="56.25" customHeight="1">
      <c r="A20" s="253" t="s">
        <v>327</v>
      </c>
      <c r="B20" s="171">
        <v>4050</v>
      </c>
      <c r="C20" s="172">
        <v>495</v>
      </c>
      <c r="D20" s="172">
        <v>0</v>
      </c>
      <c r="E20" s="172"/>
      <c r="F20" s="82">
        <f>F21+F22++F23</f>
        <v>0</v>
      </c>
      <c r="G20" s="82"/>
      <c r="H20" s="82"/>
      <c r="I20" s="82"/>
      <c r="J20" s="82"/>
    </row>
    <row r="21" spans="1:17" ht="37.5" customHeight="1">
      <c r="A21" s="254" t="s">
        <v>369</v>
      </c>
      <c r="B21" s="8" t="s">
        <v>372</v>
      </c>
      <c r="C21" s="174">
        <v>21</v>
      </c>
      <c r="D21" s="174">
        <v>0</v>
      </c>
      <c r="E21" s="174"/>
      <c r="F21" s="174">
        <v>0</v>
      </c>
      <c r="G21" s="98"/>
      <c r="H21" s="167"/>
      <c r="I21" s="167"/>
      <c r="J21" s="98"/>
    </row>
    <row r="22" spans="1:17" ht="39.75" customHeight="1">
      <c r="A22" s="254" t="s">
        <v>370</v>
      </c>
      <c r="B22" s="8" t="s">
        <v>364</v>
      </c>
      <c r="C22" s="174">
        <v>474</v>
      </c>
      <c r="D22" s="174">
        <v>0</v>
      </c>
      <c r="E22" s="174"/>
      <c r="F22" s="98">
        <v>0</v>
      </c>
      <c r="G22" s="98"/>
      <c r="H22" s="167"/>
      <c r="I22" s="167"/>
      <c r="J22" s="98"/>
    </row>
    <row r="23" spans="1:17" ht="56.25" hidden="1" outlineLevel="1">
      <c r="A23" s="453" t="s">
        <v>371</v>
      </c>
      <c r="B23" s="454" t="s">
        <v>373</v>
      </c>
      <c r="C23" s="455"/>
      <c r="D23" s="455"/>
      <c r="E23" s="455"/>
      <c r="F23" s="455">
        <v>0</v>
      </c>
      <c r="G23" s="455"/>
      <c r="H23" s="456"/>
      <c r="I23" s="456"/>
      <c r="J23" s="455"/>
    </row>
    <row r="24" spans="1:17" ht="33" customHeight="1" collapsed="1">
      <c r="A24" s="175"/>
      <c r="B24" s="24"/>
      <c r="C24" s="176"/>
      <c r="D24" s="176"/>
      <c r="E24" s="176"/>
      <c r="F24" s="176"/>
      <c r="G24" s="176"/>
      <c r="H24" s="177"/>
      <c r="I24" s="177"/>
      <c r="J24" s="177"/>
    </row>
    <row r="25" spans="1:17" ht="32.25" customHeight="1">
      <c r="A25" s="41" t="s">
        <v>368</v>
      </c>
      <c r="B25" s="1"/>
      <c r="C25" s="632" t="s">
        <v>85</v>
      </c>
      <c r="D25" s="632"/>
      <c r="E25" s="632"/>
      <c r="F25" s="632"/>
      <c r="G25" s="12"/>
      <c r="H25" s="626" t="s">
        <v>330</v>
      </c>
      <c r="I25" s="626"/>
      <c r="J25" s="626"/>
    </row>
    <row r="26" spans="1:17" s="2" customFormat="1" ht="20.100000000000001" customHeight="1">
      <c r="A26" s="178" t="s">
        <v>61</v>
      </c>
      <c r="B26" s="179"/>
      <c r="C26" s="703" t="s">
        <v>62</v>
      </c>
      <c r="D26" s="703"/>
      <c r="E26" s="703"/>
      <c r="F26" s="703"/>
      <c r="G26" s="180"/>
      <c r="H26" s="612" t="s">
        <v>81</v>
      </c>
      <c r="I26" s="612"/>
      <c r="J26" s="612"/>
    </row>
    <row r="27" spans="1:17">
      <c r="A27" s="37"/>
    </row>
    <row r="28" spans="1:17">
      <c r="A28" s="37"/>
    </row>
    <row r="29" spans="1:17">
      <c r="A29" s="37"/>
    </row>
    <row r="30" spans="1:17">
      <c r="A30" s="37"/>
    </row>
    <row r="31" spans="1:17">
      <c r="A31" s="37"/>
    </row>
    <row r="32" spans="1:17">
      <c r="A32" s="37"/>
    </row>
    <row r="33" spans="1:1">
      <c r="A33" s="37"/>
    </row>
    <row r="34" spans="1:1">
      <c r="A34" s="37"/>
    </row>
    <row r="35" spans="1:1">
      <c r="A35" s="37"/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  <row r="44" spans="1:1">
      <c r="A44" s="37"/>
    </row>
    <row r="45" spans="1:1">
      <c r="A45" s="37"/>
    </row>
    <row r="46" spans="1:1">
      <c r="A46" s="37"/>
    </row>
    <row r="47" spans="1:1">
      <c r="A47" s="37"/>
    </row>
    <row r="48" spans="1:1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  <row r="63" spans="1:1">
      <c r="A63" s="37"/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7"/>
    </row>
    <row r="78" spans="1:1">
      <c r="A78" s="37"/>
    </row>
    <row r="79" spans="1:1">
      <c r="A79" s="37"/>
    </row>
    <row r="80" spans="1:1">
      <c r="A80" s="37"/>
    </row>
    <row r="81" spans="1:1">
      <c r="A81" s="37"/>
    </row>
    <row r="82" spans="1:1">
      <c r="A82" s="37"/>
    </row>
    <row r="83" spans="1:1">
      <c r="A83" s="37"/>
    </row>
    <row r="84" spans="1:1">
      <c r="A84" s="37"/>
    </row>
    <row r="85" spans="1:1">
      <c r="A85" s="37"/>
    </row>
    <row r="86" spans="1:1">
      <c r="A86" s="37"/>
    </row>
    <row r="87" spans="1:1">
      <c r="A87" s="37"/>
    </row>
    <row r="88" spans="1:1">
      <c r="A88" s="37"/>
    </row>
    <row r="89" spans="1:1">
      <c r="A89" s="37"/>
    </row>
    <row r="90" spans="1:1">
      <c r="A90" s="37"/>
    </row>
    <row r="91" spans="1:1">
      <c r="A91" s="37"/>
    </row>
    <row r="92" spans="1:1">
      <c r="A92" s="37"/>
    </row>
    <row r="93" spans="1:1">
      <c r="A93" s="37"/>
    </row>
    <row r="94" spans="1:1">
      <c r="A94" s="37"/>
    </row>
    <row r="95" spans="1:1">
      <c r="A95" s="37"/>
    </row>
    <row r="96" spans="1:1">
      <c r="A96" s="37"/>
    </row>
    <row r="97" spans="1:1">
      <c r="A97" s="37"/>
    </row>
    <row r="98" spans="1:1">
      <c r="A98" s="37"/>
    </row>
    <row r="99" spans="1:1">
      <c r="A99" s="37"/>
    </row>
    <row r="100" spans="1:1">
      <c r="A100" s="37"/>
    </row>
    <row r="101" spans="1:1">
      <c r="A101" s="37"/>
    </row>
    <row r="102" spans="1:1">
      <c r="A102" s="37"/>
    </row>
    <row r="103" spans="1:1">
      <c r="A103" s="37"/>
    </row>
    <row r="104" spans="1:1">
      <c r="A104" s="37"/>
    </row>
    <row r="105" spans="1:1">
      <c r="A105" s="37"/>
    </row>
    <row r="106" spans="1:1">
      <c r="A106" s="37"/>
    </row>
    <row r="107" spans="1:1">
      <c r="A107" s="37"/>
    </row>
    <row r="108" spans="1:1">
      <c r="A108" s="37"/>
    </row>
    <row r="109" spans="1:1">
      <c r="A109" s="37"/>
    </row>
    <row r="110" spans="1:1">
      <c r="A110" s="37"/>
    </row>
    <row r="111" spans="1:1">
      <c r="A111" s="37"/>
    </row>
    <row r="112" spans="1:1">
      <c r="A112" s="37"/>
    </row>
    <row r="113" spans="1:1">
      <c r="A113" s="37"/>
    </row>
    <row r="114" spans="1:1">
      <c r="A114" s="37"/>
    </row>
    <row r="115" spans="1:1">
      <c r="A115" s="37"/>
    </row>
    <row r="116" spans="1:1">
      <c r="A116" s="37"/>
    </row>
    <row r="117" spans="1:1">
      <c r="A117" s="37"/>
    </row>
    <row r="118" spans="1:1">
      <c r="A118" s="37"/>
    </row>
    <row r="119" spans="1:1">
      <c r="A119" s="37"/>
    </row>
    <row r="120" spans="1:1">
      <c r="A120" s="37"/>
    </row>
    <row r="121" spans="1:1">
      <c r="A121" s="37"/>
    </row>
    <row r="122" spans="1:1">
      <c r="A122" s="37"/>
    </row>
    <row r="123" spans="1:1">
      <c r="A123" s="37"/>
    </row>
    <row r="124" spans="1:1">
      <c r="A124" s="37"/>
    </row>
    <row r="125" spans="1:1">
      <c r="A125" s="37"/>
    </row>
    <row r="126" spans="1:1">
      <c r="A126" s="37"/>
    </row>
    <row r="127" spans="1:1">
      <c r="A127" s="37"/>
    </row>
    <row r="128" spans="1:1">
      <c r="A128" s="37"/>
    </row>
    <row r="129" spans="1:1">
      <c r="A129" s="37"/>
    </row>
    <row r="130" spans="1:1">
      <c r="A130" s="37"/>
    </row>
    <row r="131" spans="1:1">
      <c r="A131" s="37"/>
    </row>
    <row r="132" spans="1:1">
      <c r="A132" s="37"/>
    </row>
    <row r="133" spans="1:1">
      <c r="A133" s="37"/>
    </row>
    <row r="134" spans="1:1">
      <c r="A134" s="37"/>
    </row>
    <row r="135" spans="1:1">
      <c r="A135" s="37"/>
    </row>
    <row r="136" spans="1:1">
      <c r="A136" s="37"/>
    </row>
    <row r="137" spans="1:1">
      <c r="A137" s="37"/>
    </row>
    <row r="138" spans="1:1">
      <c r="A138" s="37"/>
    </row>
    <row r="139" spans="1:1">
      <c r="A139" s="37"/>
    </row>
    <row r="140" spans="1:1">
      <c r="A140" s="37"/>
    </row>
    <row r="141" spans="1:1">
      <c r="A141" s="37"/>
    </row>
    <row r="142" spans="1:1">
      <c r="A142" s="37"/>
    </row>
    <row r="143" spans="1:1">
      <c r="A143" s="37"/>
    </row>
    <row r="144" spans="1:1">
      <c r="A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37"/>
    </row>
    <row r="149" spans="1:1">
      <c r="A149" s="37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  <row r="154" spans="1:1">
      <c r="A154" s="37"/>
    </row>
    <row r="155" spans="1:1">
      <c r="A155" s="37"/>
    </row>
    <row r="156" spans="1:1">
      <c r="A156" s="37"/>
    </row>
    <row r="157" spans="1:1">
      <c r="A157" s="37"/>
    </row>
    <row r="158" spans="1:1">
      <c r="A158" s="37"/>
    </row>
    <row r="159" spans="1:1">
      <c r="A159" s="37"/>
    </row>
    <row r="160" spans="1:1">
      <c r="A160" s="37"/>
    </row>
    <row r="161" spans="1:1">
      <c r="A161" s="37"/>
    </row>
    <row r="162" spans="1:1">
      <c r="A162" s="37"/>
    </row>
    <row r="163" spans="1:1">
      <c r="A163" s="37"/>
    </row>
    <row r="164" spans="1:1">
      <c r="A164" s="37"/>
    </row>
    <row r="165" spans="1:1">
      <c r="A165" s="37"/>
    </row>
    <row r="166" spans="1:1">
      <c r="A166" s="37"/>
    </row>
    <row r="167" spans="1:1">
      <c r="A167" s="37"/>
    </row>
    <row r="168" spans="1:1">
      <c r="A168" s="37"/>
    </row>
    <row r="169" spans="1:1">
      <c r="A169" s="37"/>
    </row>
    <row r="170" spans="1:1">
      <c r="A170" s="37"/>
    </row>
    <row r="171" spans="1:1">
      <c r="A171" s="37"/>
    </row>
    <row r="172" spans="1:1">
      <c r="A172" s="37"/>
    </row>
    <row r="173" spans="1:1">
      <c r="A173" s="37"/>
    </row>
    <row r="174" spans="1:1">
      <c r="A174" s="37"/>
    </row>
    <row r="175" spans="1:1">
      <c r="A175" s="37"/>
    </row>
    <row r="176" spans="1:1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37"/>
    </row>
    <row r="185" spans="1:1">
      <c r="A185" s="37"/>
    </row>
    <row r="186" spans="1:1">
      <c r="A186" s="37"/>
    </row>
    <row r="187" spans="1:1">
      <c r="A187" s="37"/>
    </row>
    <row r="188" spans="1:1">
      <c r="A188" s="37"/>
    </row>
    <row r="189" spans="1:1">
      <c r="A189" s="37"/>
    </row>
    <row r="190" spans="1:1">
      <c r="A190" s="37"/>
    </row>
    <row r="191" spans="1:1">
      <c r="A191" s="37"/>
    </row>
    <row r="192" spans="1:1">
      <c r="A192" s="37"/>
    </row>
  </sheetData>
  <mergeCells count="13">
    <mergeCell ref="C25:F25"/>
    <mergeCell ref="H25:J25"/>
    <mergeCell ref="C26:F26"/>
    <mergeCell ref="H26:J26"/>
    <mergeCell ref="A5:A6"/>
    <mergeCell ref="A3:J3"/>
    <mergeCell ref="B5:B6"/>
    <mergeCell ref="C5:C6"/>
    <mergeCell ref="A4:J4"/>
    <mergeCell ref="F5:F6"/>
    <mergeCell ref="E5:E6"/>
    <mergeCell ref="D5:D6"/>
    <mergeCell ref="G5:J5"/>
  </mergeCells>
  <phoneticPr fontId="0" type="noConversion"/>
  <pageMargins left="0.70866141732283472" right="0.19685039370078741" top="0.78740157480314965" bottom="0.78740157480314965" header="0.27559055118110237" footer="0.31496062992125984"/>
  <pageSetup paperSize="9" scale="50" firstPageNumber="9" fitToHeight="0" orientation="portrait" useFirstPageNumber="1" r:id="rId1"/>
  <headerFooter alignWithMargins="0">
    <oddHeader>&amp;C&amp;"Times New Roman,обычный"&amp;14 10&amp;R&amp;"Times New Roman,обычный"&amp;14Продовження додатка 1 Таблиця 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CFF"/>
  </sheetPr>
  <dimension ref="A1:AJ103"/>
  <sheetViews>
    <sheetView topLeftCell="A13" zoomScale="48" zoomScaleNormal="48" zoomScaleSheetLayoutView="75" workbookViewId="0">
      <selection activeCell="E16" sqref="E16"/>
    </sheetView>
  </sheetViews>
  <sheetFormatPr defaultRowHeight="18.75"/>
  <cols>
    <col min="1" max="1" width="32.5703125" style="2" customWidth="1"/>
    <col min="2" max="2" width="13.5703125" style="17" customWidth="1"/>
    <col min="3" max="3" width="11.28515625" style="17" customWidth="1"/>
    <col min="4" max="4" width="15.85546875" style="17" customWidth="1"/>
    <col min="5" max="5" width="15.140625" style="2" customWidth="1"/>
    <col min="6" max="6" width="2.85546875" style="2" hidden="1" customWidth="1"/>
    <col min="7" max="7" width="22.140625" style="2" customWidth="1"/>
    <col min="8" max="8" width="20.42578125" style="2" hidden="1" customWidth="1"/>
    <col min="9" max="9" width="20.140625" style="2" customWidth="1"/>
    <col min="10" max="10" width="19.42578125" style="2" hidden="1" customWidth="1"/>
    <col min="11" max="11" width="12.85546875" style="2" customWidth="1"/>
    <col min="12" max="12" width="16.28515625" style="2" customWidth="1"/>
    <col min="13" max="13" width="11.7109375" style="2" customWidth="1"/>
    <col min="14" max="14" width="10" style="2" customWidth="1"/>
    <col min="15" max="15" width="8.7109375" style="2" customWidth="1"/>
    <col min="16" max="16" width="9.140625" style="2" customWidth="1"/>
    <col min="17" max="17" width="11.42578125" style="2" customWidth="1"/>
    <col min="18" max="18" width="5.5703125" style="2" customWidth="1"/>
    <col min="19" max="19" width="5.85546875" style="2" customWidth="1"/>
    <col min="20" max="20" width="8.7109375" style="2" customWidth="1"/>
    <col min="21" max="21" width="5" style="2" customWidth="1"/>
    <col min="22" max="22" width="8" style="2" customWidth="1"/>
    <col min="23" max="23" width="4.140625" style="2" customWidth="1"/>
    <col min="24" max="24" width="3.85546875" style="2" customWidth="1"/>
    <col min="25" max="25" width="5.85546875" style="2" customWidth="1"/>
    <col min="26" max="26" width="5.7109375" style="2" customWidth="1"/>
    <col min="27" max="27" width="9.85546875" style="2" customWidth="1"/>
    <col min="28" max="28" width="9.140625" style="2" customWidth="1"/>
    <col min="29" max="29" width="10.42578125" style="2" customWidth="1"/>
    <col min="30" max="30" width="7.42578125" style="2" customWidth="1"/>
    <col min="31" max="31" width="8.7109375" style="2" customWidth="1"/>
    <col min="32" max="16384" width="9.140625" style="2"/>
  </cols>
  <sheetData>
    <row r="1" spans="1:17" ht="0.75" customHeight="1"/>
    <row r="2" spans="1:17" hidden="1">
      <c r="B2" s="722"/>
      <c r="C2" s="722"/>
      <c r="D2" s="722"/>
      <c r="E2" s="722"/>
      <c r="F2" s="722"/>
      <c r="G2" s="722"/>
      <c r="H2" s="722"/>
      <c r="I2" s="722"/>
    </row>
    <row r="3" spans="1:17" ht="29.25" customHeight="1">
      <c r="B3" s="83"/>
      <c r="C3" s="83"/>
      <c r="D3" s="83"/>
      <c r="E3" s="83"/>
      <c r="F3" s="83"/>
      <c r="G3" s="83"/>
      <c r="H3" s="83"/>
      <c r="I3" s="83"/>
    </row>
    <row r="4" spans="1:17">
      <c r="A4" s="722" t="s">
        <v>306</v>
      </c>
      <c r="B4" s="722"/>
      <c r="C4" s="722"/>
      <c r="D4" s="722"/>
      <c r="E4" s="722"/>
      <c r="F4" s="722"/>
      <c r="G4" s="722"/>
      <c r="H4" s="722"/>
      <c r="I4" s="722"/>
      <c r="J4" s="722"/>
      <c r="K4" s="83"/>
      <c r="L4" s="83"/>
      <c r="M4" s="83"/>
      <c r="N4" s="83"/>
      <c r="O4" s="83"/>
      <c r="P4" s="83"/>
      <c r="Q4" s="83"/>
    </row>
    <row r="5" spans="1:17">
      <c r="A5" s="722" t="s">
        <v>391</v>
      </c>
      <c r="B5" s="722"/>
      <c r="C5" s="722"/>
      <c r="D5" s="722"/>
      <c r="E5" s="722"/>
      <c r="F5" s="722"/>
      <c r="G5" s="722"/>
      <c r="H5" s="722"/>
      <c r="I5" s="722"/>
      <c r="J5" s="722"/>
      <c r="K5" s="83"/>
      <c r="L5" s="83"/>
      <c r="M5" s="83"/>
      <c r="N5" s="83"/>
      <c r="O5" s="83"/>
      <c r="P5" s="83"/>
      <c r="Q5" s="83"/>
    </row>
    <row r="6" spans="1:17">
      <c r="A6" s="783" t="s">
        <v>332</v>
      </c>
      <c r="B6" s="783"/>
      <c r="C6" s="783"/>
      <c r="D6" s="783"/>
      <c r="E6" s="783"/>
      <c r="F6" s="783"/>
      <c r="G6" s="783"/>
      <c r="H6" s="783"/>
      <c r="I6" s="783"/>
      <c r="J6" s="783"/>
      <c r="K6" s="204"/>
      <c r="L6" s="21"/>
      <c r="M6" s="21"/>
      <c r="N6" s="21"/>
      <c r="O6" s="21"/>
      <c r="P6" s="21"/>
      <c r="Q6" s="21"/>
    </row>
    <row r="7" spans="1:17" ht="20.100000000000001" customHeight="1">
      <c r="A7" s="566" t="s">
        <v>105</v>
      </c>
      <c r="B7" s="566"/>
      <c r="C7" s="566"/>
      <c r="D7" s="566"/>
      <c r="E7" s="566"/>
      <c r="F7" s="566"/>
      <c r="G7" s="566"/>
      <c r="H7" s="566"/>
      <c r="I7" s="566"/>
      <c r="J7" s="566"/>
      <c r="K7" s="50"/>
      <c r="L7" s="50"/>
      <c r="M7" s="50"/>
      <c r="N7" s="50"/>
      <c r="O7" s="50"/>
      <c r="P7" s="50"/>
      <c r="Q7" s="50"/>
    </row>
    <row r="8" spans="1:17" ht="21.95" customHeight="1">
      <c r="A8" s="11" t="s">
        <v>273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5"/>
      <c r="M8" s="5"/>
      <c r="N8" s="5"/>
      <c r="O8" s="5"/>
      <c r="P8" s="5"/>
      <c r="Q8" s="5"/>
    </row>
    <row r="9" spans="1:17" ht="16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18.75" customHeight="1">
      <c r="A10" s="2" t="s">
        <v>225</v>
      </c>
      <c r="B10" s="2"/>
      <c r="C10" s="2"/>
      <c r="D10" s="2"/>
    </row>
    <row r="11" spans="1:17" ht="18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3" customFormat="1" ht="116.25" customHeight="1">
      <c r="A12" s="6" t="s">
        <v>186</v>
      </c>
      <c r="B12" s="249" t="s">
        <v>381</v>
      </c>
      <c r="C12" s="249" t="s">
        <v>392</v>
      </c>
      <c r="D12" s="249" t="s">
        <v>393</v>
      </c>
      <c r="E12" s="249" t="s">
        <v>107</v>
      </c>
      <c r="F12" s="249"/>
      <c r="G12" s="605" t="s">
        <v>394</v>
      </c>
      <c r="H12" s="605"/>
      <c r="I12" s="605" t="s">
        <v>395</v>
      </c>
      <c r="J12" s="605"/>
      <c r="K12" s="40"/>
      <c r="L12" s="40"/>
      <c r="M12" s="40"/>
      <c r="N12" s="40"/>
      <c r="O12" s="40"/>
      <c r="P12" s="21"/>
      <c r="Q12" s="21"/>
    </row>
    <row r="13" spans="1:17" s="3" customFormat="1" ht="18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/>
      <c r="G13" s="606">
        <v>6</v>
      </c>
      <c r="H13" s="606"/>
      <c r="I13" s="548">
        <v>7</v>
      </c>
      <c r="J13" s="730"/>
      <c r="K13" s="173"/>
      <c r="L13" s="40"/>
      <c r="M13" s="40"/>
      <c r="N13" s="40"/>
      <c r="O13" s="40"/>
      <c r="P13" s="21"/>
      <c r="Q13" s="21"/>
    </row>
    <row r="14" spans="1:17" s="3" customFormat="1" ht="60.75" customHeight="1">
      <c r="A14" s="9" t="s">
        <v>106</v>
      </c>
      <c r="B14" s="60">
        <v>92</v>
      </c>
      <c r="C14" s="144">
        <v>92</v>
      </c>
      <c r="D14" s="144">
        <v>86</v>
      </c>
      <c r="E14" s="144">
        <f>E15+E16+E17+E18+E19</f>
        <v>86</v>
      </c>
      <c r="F14" s="61"/>
      <c r="G14" s="714">
        <f>E14/D14*100</f>
        <v>100</v>
      </c>
      <c r="H14" s="714"/>
      <c r="I14" s="715">
        <f>E14/C14*100</f>
        <v>93.478260869565219</v>
      </c>
      <c r="J14" s="776"/>
      <c r="K14" s="205"/>
      <c r="L14" s="71"/>
      <c r="M14" s="71"/>
      <c r="N14" s="28"/>
      <c r="O14" s="28"/>
      <c r="P14" s="97"/>
      <c r="Q14" s="97"/>
    </row>
    <row r="15" spans="1:17" s="3" customFormat="1" ht="20.100000000000001" customHeight="1">
      <c r="A15" s="8" t="s">
        <v>207</v>
      </c>
      <c r="B15" s="7">
        <v>4</v>
      </c>
      <c r="C15" s="7">
        <v>4</v>
      </c>
      <c r="D15" s="7">
        <v>4</v>
      </c>
      <c r="E15" s="7">
        <v>4</v>
      </c>
      <c r="F15" s="8"/>
      <c r="G15" s="714">
        <f>E15/D15*100</f>
        <v>100</v>
      </c>
      <c r="H15" s="714"/>
      <c r="I15" s="729">
        <v>100</v>
      </c>
      <c r="J15" s="730"/>
      <c r="K15" s="173"/>
      <c r="L15" s="71"/>
      <c r="M15" s="71"/>
      <c r="N15" s="28"/>
      <c r="O15" s="28"/>
      <c r="P15" s="97"/>
      <c r="Q15" s="97"/>
    </row>
    <row r="16" spans="1:17" s="3" customFormat="1" ht="20.100000000000001" customHeight="1">
      <c r="A16" s="8" t="s">
        <v>208</v>
      </c>
      <c r="B16" s="7">
        <v>7</v>
      </c>
      <c r="C16" s="7">
        <v>8</v>
      </c>
      <c r="D16" s="7">
        <v>6</v>
      </c>
      <c r="E16" s="7">
        <v>6</v>
      </c>
      <c r="F16" s="8"/>
      <c r="G16" s="714">
        <v>100</v>
      </c>
      <c r="H16" s="714"/>
      <c r="I16" s="729">
        <f>E16/C16*100</f>
        <v>75</v>
      </c>
      <c r="J16" s="737"/>
      <c r="K16" s="206"/>
      <c r="L16" s="71"/>
      <c r="M16" s="71"/>
      <c r="N16" s="28"/>
      <c r="O16" s="28"/>
      <c r="P16" s="97"/>
      <c r="Q16" s="97"/>
    </row>
    <row r="17" spans="1:17" s="3" customFormat="1" ht="20.100000000000001" customHeight="1">
      <c r="A17" s="8" t="s">
        <v>209</v>
      </c>
      <c r="B17" s="7">
        <v>2</v>
      </c>
      <c r="C17" s="7">
        <v>2</v>
      </c>
      <c r="D17" s="7">
        <v>2</v>
      </c>
      <c r="E17" s="7">
        <v>2</v>
      </c>
      <c r="F17" s="8"/>
      <c r="G17" s="714">
        <v>100</v>
      </c>
      <c r="H17" s="714"/>
      <c r="I17" s="729">
        <v>100</v>
      </c>
      <c r="J17" s="730"/>
      <c r="K17" s="173"/>
      <c r="L17" s="71"/>
      <c r="M17" s="71"/>
      <c r="N17" s="28"/>
      <c r="O17" s="28"/>
      <c r="P17" s="97"/>
      <c r="Q17" s="97"/>
    </row>
    <row r="18" spans="1:17" s="3" customFormat="1" ht="20.100000000000001" customHeight="1">
      <c r="A18" s="8" t="s">
        <v>210</v>
      </c>
      <c r="B18" s="7">
        <v>2</v>
      </c>
      <c r="C18" s="7">
        <v>2</v>
      </c>
      <c r="D18" s="7">
        <v>2</v>
      </c>
      <c r="E18" s="7">
        <v>2</v>
      </c>
      <c r="F18" s="8"/>
      <c r="G18" s="714">
        <v>100</v>
      </c>
      <c r="H18" s="714"/>
      <c r="I18" s="729">
        <v>100</v>
      </c>
      <c r="J18" s="730"/>
      <c r="K18" s="173"/>
      <c r="L18" s="71"/>
      <c r="M18" s="71"/>
      <c r="N18" s="28"/>
      <c r="O18" s="28"/>
      <c r="P18" s="97"/>
      <c r="Q18" s="97"/>
    </row>
    <row r="19" spans="1:17" s="3" customFormat="1" ht="20.100000000000001" customHeight="1">
      <c r="A19" s="8" t="s">
        <v>211</v>
      </c>
      <c r="B19" s="7">
        <v>76</v>
      </c>
      <c r="C19" s="7">
        <v>76</v>
      </c>
      <c r="D19" s="7">
        <v>72</v>
      </c>
      <c r="E19" s="7">
        <v>72</v>
      </c>
      <c r="F19" s="8"/>
      <c r="G19" s="714">
        <f>E19/D19*100</f>
        <v>100</v>
      </c>
      <c r="H19" s="714"/>
      <c r="I19" s="715">
        <f>E19/C19*100</f>
        <v>94.73684210526315</v>
      </c>
      <c r="J19" s="776"/>
      <c r="K19" s="205"/>
      <c r="L19" s="71"/>
      <c r="M19" s="71"/>
      <c r="N19" s="28"/>
      <c r="O19" s="28"/>
      <c r="P19" s="97"/>
      <c r="Q19" s="97"/>
    </row>
    <row r="20" spans="1:17" s="3" customFormat="1" ht="20.100000000000001" customHeight="1">
      <c r="A20" s="8" t="s">
        <v>212</v>
      </c>
      <c r="B20" s="8"/>
      <c r="C20" s="8"/>
      <c r="D20" s="8"/>
      <c r="E20" s="8"/>
      <c r="F20" s="8"/>
      <c r="G20" s="714"/>
      <c r="H20" s="714"/>
      <c r="I20" s="729"/>
      <c r="J20" s="730"/>
      <c r="K20" s="173"/>
      <c r="L20" s="71"/>
      <c r="M20" s="71"/>
      <c r="N20" s="28"/>
      <c r="O20" s="28"/>
      <c r="P20" s="97"/>
      <c r="Q20" s="97"/>
    </row>
    <row r="21" spans="1:17" s="3" customFormat="1" ht="20.100000000000001" customHeight="1">
      <c r="A21" s="9" t="s">
        <v>193</v>
      </c>
      <c r="B21" s="139">
        <f>B22+B23+B24</f>
        <v>5302</v>
      </c>
      <c r="C21" s="9">
        <f>C22+C23+C24</f>
        <v>6675.4</v>
      </c>
      <c r="D21" s="9">
        <v>6913</v>
      </c>
      <c r="E21" s="415">
        <f>'[38]1.1.Фінансовий результат'!F106</f>
        <v>9987.0829999999987</v>
      </c>
      <c r="F21" s="9"/>
      <c r="G21" s="714">
        <f>E21/D21*100</f>
        <v>144.46814696947777</v>
      </c>
      <c r="H21" s="714"/>
      <c r="I21" s="715">
        <f t="shared" ref="I21:I36" si="0">E21/C21*100</f>
        <v>149.61025556520957</v>
      </c>
      <c r="J21" s="776"/>
      <c r="K21" s="205"/>
      <c r="L21" s="71"/>
      <c r="M21" s="71"/>
      <c r="N21" s="28"/>
      <c r="O21" s="28"/>
      <c r="P21" s="97"/>
      <c r="Q21" s="97"/>
    </row>
    <row r="22" spans="1:17" s="3" customFormat="1" ht="20.100000000000001" customHeight="1">
      <c r="A22" s="8" t="s">
        <v>184</v>
      </c>
      <c r="B22" s="8">
        <v>164.1</v>
      </c>
      <c r="C22" s="8">
        <v>200.9</v>
      </c>
      <c r="D22" s="8">
        <v>200.9</v>
      </c>
      <c r="E22" s="416">
        <v>200.9</v>
      </c>
      <c r="F22" s="8"/>
      <c r="G22" s="714">
        <f>E22/D22*100</f>
        <v>100</v>
      </c>
      <c r="H22" s="714"/>
      <c r="I22" s="715">
        <f t="shared" si="0"/>
        <v>100</v>
      </c>
      <c r="J22" s="716"/>
      <c r="K22" s="28"/>
      <c r="L22" s="71"/>
      <c r="M22" s="71"/>
      <c r="N22" s="28"/>
      <c r="O22" s="28"/>
      <c r="P22" s="97"/>
      <c r="Q22" s="97"/>
    </row>
    <row r="23" spans="1:17" s="3" customFormat="1" ht="41.25" customHeight="1">
      <c r="A23" s="8" t="s">
        <v>195</v>
      </c>
      <c r="B23" s="8">
        <v>814.6</v>
      </c>
      <c r="C23" s="8">
        <v>1019.6</v>
      </c>
      <c r="D23" s="8">
        <v>1024.2</v>
      </c>
      <c r="E23" s="416">
        <f>'[38]1.1.Фінансовий результат'!F39-E22</f>
        <v>1739.3829999999998</v>
      </c>
      <c r="F23" s="8"/>
      <c r="G23" s="714">
        <f>E23/D23*100</f>
        <v>169.82845147432138</v>
      </c>
      <c r="H23" s="714"/>
      <c r="I23" s="715">
        <f t="shared" si="0"/>
        <v>170.59464495880735</v>
      </c>
      <c r="J23" s="776"/>
      <c r="K23" s="205"/>
      <c r="L23" s="71"/>
      <c r="M23" s="71"/>
      <c r="N23" s="28"/>
      <c r="O23" s="28"/>
      <c r="P23" s="97"/>
      <c r="Q23" s="97"/>
    </row>
    <row r="24" spans="1:17" s="3" customFormat="1" ht="20.100000000000001" customHeight="1">
      <c r="A24" s="8" t="s">
        <v>185</v>
      </c>
      <c r="B24" s="8">
        <v>4323.3</v>
      </c>
      <c r="C24" s="8">
        <v>5454.9</v>
      </c>
      <c r="D24" s="8">
        <v>5687.9</v>
      </c>
      <c r="E24" s="416">
        <f>E21-E22-E23</f>
        <v>8046.7999999999993</v>
      </c>
      <c r="F24" s="8"/>
      <c r="G24" s="714">
        <f>E24/D24*100</f>
        <v>141.47224810562773</v>
      </c>
      <c r="H24" s="714"/>
      <c r="I24" s="715">
        <f t="shared" si="0"/>
        <v>147.51507818658453</v>
      </c>
      <c r="J24" s="776"/>
      <c r="K24" s="205"/>
      <c r="L24" s="71"/>
      <c r="M24" s="71"/>
      <c r="N24" s="28"/>
      <c r="O24" s="28"/>
      <c r="P24" s="97"/>
      <c r="Q24" s="97"/>
    </row>
    <row r="25" spans="1:17" s="3" customFormat="1" ht="40.5" customHeight="1">
      <c r="A25" s="9" t="s">
        <v>194</v>
      </c>
      <c r="B25" s="139">
        <f>B26+B27+B28</f>
        <v>5302</v>
      </c>
      <c r="C25" s="9">
        <f t="shared" ref="C25:C28" si="1">C21</f>
        <v>6675.4</v>
      </c>
      <c r="D25" s="139">
        <v>6913</v>
      </c>
      <c r="E25" s="415">
        <f t="shared" ref="E25:E28" si="2">E21</f>
        <v>9987.0829999999987</v>
      </c>
      <c r="F25" s="9"/>
      <c r="G25" s="715">
        <f>G21</f>
        <v>144.46814696947777</v>
      </c>
      <c r="H25" s="716"/>
      <c r="I25" s="715">
        <f t="shared" si="0"/>
        <v>149.61025556520957</v>
      </c>
      <c r="J25" s="776"/>
      <c r="K25" s="205"/>
      <c r="L25" s="71"/>
      <c r="M25" s="71"/>
      <c r="N25" s="28"/>
      <c r="O25" s="28"/>
      <c r="P25" s="97"/>
      <c r="Q25" s="97"/>
    </row>
    <row r="26" spans="1:17" s="3" customFormat="1" ht="20.100000000000001" customHeight="1">
      <c r="A26" s="8" t="s">
        <v>184</v>
      </c>
      <c r="B26" s="8">
        <v>164.1</v>
      </c>
      <c r="C26" s="8">
        <f t="shared" si="1"/>
        <v>200.9</v>
      </c>
      <c r="D26" s="8">
        <v>200.9</v>
      </c>
      <c r="E26" s="416">
        <v>200.9</v>
      </c>
      <c r="F26" s="8"/>
      <c r="G26" s="714">
        <f t="shared" ref="G26:G36" si="3">E26/D26*100</f>
        <v>100</v>
      </c>
      <c r="H26" s="714"/>
      <c r="I26" s="715">
        <f t="shared" si="0"/>
        <v>100</v>
      </c>
      <c r="J26" s="776"/>
      <c r="K26" s="205"/>
      <c r="L26" s="71"/>
      <c r="M26" s="71"/>
      <c r="N26" s="28"/>
      <c r="O26" s="28"/>
      <c r="P26" s="97"/>
      <c r="Q26" s="97"/>
    </row>
    <row r="27" spans="1:17" s="3" customFormat="1" ht="20.100000000000001" customHeight="1">
      <c r="A27" s="8" t="s">
        <v>195</v>
      </c>
      <c r="B27" s="8">
        <v>814.6</v>
      </c>
      <c r="C27" s="8">
        <f t="shared" si="1"/>
        <v>1019.6</v>
      </c>
      <c r="D27" s="8">
        <v>1024.2</v>
      </c>
      <c r="E27" s="416">
        <f t="shared" si="2"/>
        <v>1739.3829999999998</v>
      </c>
      <c r="F27" s="8"/>
      <c r="G27" s="714">
        <f t="shared" si="3"/>
        <v>169.82845147432138</v>
      </c>
      <c r="H27" s="714"/>
      <c r="I27" s="715">
        <f t="shared" si="0"/>
        <v>170.59464495880735</v>
      </c>
      <c r="J27" s="776"/>
      <c r="K27" s="205"/>
      <c r="L27" s="71"/>
      <c r="M27" s="71"/>
      <c r="N27" s="28"/>
      <c r="O27" s="28"/>
      <c r="P27" s="97"/>
      <c r="Q27" s="97"/>
    </row>
    <row r="28" spans="1:17" s="3" customFormat="1" ht="20.100000000000001" customHeight="1">
      <c r="A28" s="8" t="s">
        <v>185</v>
      </c>
      <c r="B28" s="8">
        <v>4323.3</v>
      </c>
      <c r="C28" s="8">
        <f t="shared" si="1"/>
        <v>5454.9</v>
      </c>
      <c r="D28" s="8">
        <f>D25-D26-D27</f>
        <v>5687.9000000000005</v>
      </c>
      <c r="E28" s="416">
        <f t="shared" si="2"/>
        <v>8046.7999999999993</v>
      </c>
      <c r="F28" s="8"/>
      <c r="G28" s="714">
        <f t="shared" si="3"/>
        <v>141.4722481056277</v>
      </c>
      <c r="H28" s="714"/>
      <c r="I28" s="715">
        <f t="shared" si="0"/>
        <v>147.51507818658453</v>
      </c>
      <c r="J28" s="776"/>
      <c r="K28" s="205"/>
      <c r="L28" s="71"/>
      <c r="M28" s="71"/>
      <c r="N28" s="28"/>
      <c r="O28" s="28"/>
      <c r="P28" s="97"/>
      <c r="Q28" s="97"/>
    </row>
    <row r="29" spans="1:17" s="3" customFormat="1" ht="38.25" customHeight="1">
      <c r="A29" s="9" t="s">
        <v>213</v>
      </c>
      <c r="B29" s="9">
        <v>4803</v>
      </c>
      <c r="C29" s="145">
        <v>6047</v>
      </c>
      <c r="D29" s="145">
        <f>D25/D14/12*1000</f>
        <v>6698.6434108527137</v>
      </c>
      <c r="E29" s="457">
        <f>E25/E14/12*1000</f>
        <v>9677.4060077519371</v>
      </c>
      <c r="F29" s="9"/>
      <c r="G29" s="714">
        <f t="shared" si="3"/>
        <v>144.46814696947777</v>
      </c>
      <c r="H29" s="714"/>
      <c r="I29" s="715">
        <f t="shared" si="0"/>
        <v>160.0364810278144</v>
      </c>
      <c r="J29" s="776"/>
      <c r="K29" s="205"/>
      <c r="L29" s="71"/>
      <c r="M29" s="71"/>
      <c r="N29" s="28"/>
      <c r="O29" s="28"/>
      <c r="P29" s="97"/>
      <c r="Q29" s="97"/>
    </row>
    <row r="30" spans="1:17" s="3" customFormat="1" ht="20.100000000000001" customHeight="1">
      <c r="A30" s="8" t="s">
        <v>184</v>
      </c>
      <c r="B30" s="143">
        <v>13675</v>
      </c>
      <c r="C30" s="143">
        <v>16742</v>
      </c>
      <c r="D30" s="143">
        <v>16742</v>
      </c>
      <c r="E30" s="458">
        <f>E26/12*1000</f>
        <v>16741.666666666668</v>
      </c>
      <c r="F30" s="8"/>
      <c r="G30" s="714">
        <f t="shared" si="3"/>
        <v>99.998008999323062</v>
      </c>
      <c r="H30" s="714"/>
      <c r="I30" s="715">
        <f t="shared" si="0"/>
        <v>99.998008999323062</v>
      </c>
      <c r="J30" s="776"/>
      <c r="K30" s="205"/>
      <c r="L30" s="71"/>
      <c r="M30" s="71"/>
      <c r="N30" s="28"/>
      <c r="O30" s="28"/>
      <c r="P30" s="97"/>
      <c r="Q30" s="97"/>
    </row>
    <row r="31" spans="1:17" s="3" customFormat="1" ht="20.100000000000001" customHeight="1">
      <c r="A31" s="8" t="s">
        <v>195</v>
      </c>
      <c r="B31" s="143">
        <v>4526</v>
      </c>
      <c r="C31" s="143">
        <v>5664</v>
      </c>
      <c r="D31" s="187">
        <f>D27/13/12*1000</f>
        <v>6565.3846153846162</v>
      </c>
      <c r="E31" s="458">
        <f>E23/13/12*1000</f>
        <v>11149.891025641025</v>
      </c>
      <c r="F31" s="8"/>
      <c r="G31" s="714">
        <f t="shared" si="3"/>
        <v>169.82845147432138</v>
      </c>
      <c r="H31" s="714"/>
      <c r="I31" s="715">
        <f t="shared" si="0"/>
        <v>196.85542065044183</v>
      </c>
      <c r="J31" s="776"/>
      <c r="K31" s="205"/>
      <c r="L31" s="71"/>
      <c r="M31" s="71"/>
      <c r="N31" s="28"/>
      <c r="O31" s="28"/>
      <c r="P31" s="97"/>
      <c r="Q31" s="97"/>
    </row>
    <row r="32" spans="1:17" s="3" customFormat="1" ht="20.100000000000001" customHeight="1">
      <c r="A32" s="8" t="s">
        <v>185</v>
      </c>
      <c r="B32" s="143">
        <v>4740</v>
      </c>
      <c r="C32" s="143">
        <v>5981</v>
      </c>
      <c r="D32" s="187">
        <f>D28/D19/12*1000</f>
        <v>6583.2175925925931</v>
      </c>
      <c r="E32" s="458">
        <f>E28/E19/12*1000</f>
        <v>9313.4259259259252</v>
      </c>
      <c r="F32" s="8"/>
      <c r="G32" s="714">
        <f t="shared" si="3"/>
        <v>141.4722481056277</v>
      </c>
      <c r="H32" s="714"/>
      <c r="I32" s="715">
        <f t="shared" si="0"/>
        <v>155.71686885012414</v>
      </c>
      <c r="J32" s="776"/>
      <c r="K32" s="205"/>
      <c r="L32" s="71"/>
      <c r="M32" s="71"/>
      <c r="N32" s="28"/>
      <c r="O32" s="28"/>
      <c r="P32" s="97"/>
      <c r="Q32" s="97"/>
    </row>
    <row r="33" spans="1:26" s="3" customFormat="1" ht="37.5" customHeight="1">
      <c r="A33" s="9" t="s">
        <v>214</v>
      </c>
      <c r="B33" s="9">
        <v>4803</v>
      </c>
      <c r="C33" s="145">
        <v>6047</v>
      </c>
      <c r="D33" s="145">
        <f>D29</f>
        <v>6698.6434108527137</v>
      </c>
      <c r="E33" s="457">
        <f t="shared" ref="E33:E36" si="4">E29</f>
        <v>9677.4060077519371</v>
      </c>
      <c r="F33" s="9"/>
      <c r="G33" s="714">
        <f t="shared" si="3"/>
        <v>144.46814696947777</v>
      </c>
      <c r="H33" s="714"/>
      <c r="I33" s="715">
        <f t="shared" si="0"/>
        <v>160.0364810278144</v>
      </c>
      <c r="J33" s="776"/>
      <c r="K33" s="205"/>
      <c r="L33" s="71"/>
      <c r="M33" s="71"/>
      <c r="N33" s="28"/>
      <c r="O33" s="28"/>
      <c r="P33" s="97"/>
      <c r="Q33" s="97"/>
    </row>
    <row r="34" spans="1:26" s="3" customFormat="1" ht="20.100000000000001" customHeight="1">
      <c r="A34" s="8" t="s">
        <v>184</v>
      </c>
      <c r="B34" s="143">
        <v>13675</v>
      </c>
      <c r="C34" s="187">
        <f t="shared" ref="C34:D36" si="5">C30</f>
        <v>16742</v>
      </c>
      <c r="D34" s="145">
        <f t="shared" si="5"/>
        <v>16742</v>
      </c>
      <c r="E34" s="458">
        <f t="shared" si="4"/>
        <v>16741.666666666668</v>
      </c>
      <c r="F34" s="8"/>
      <c r="G34" s="714">
        <f t="shared" si="3"/>
        <v>99.998008999323062</v>
      </c>
      <c r="H34" s="714"/>
      <c r="I34" s="715">
        <f t="shared" si="0"/>
        <v>99.998008999323062</v>
      </c>
      <c r="J34" s="776"/>
      <c r="K34" s="205"/>
      <c r="L34" s="71"/>
      <c r="M34" s="71"/>
      <c r="N34" s="28"/>
      <c r="O34" s="28"/>
      <c r="P34" s="97"/>
      <c r="Q34" s="97"/>
    </row>
    <row r="35" spans="1:26" s="3" customFormat="1" ht="20.100000000000001" customHeight="1">
      <c r="A35" s="8" t="s">
        <v>195</v>
      </c>
      <c r="B35" s="143">
        <v>4526</v>
      </c>
      <c r="C35" s="187">
        <f t="shared" si="5"/>
        <v>5664</v>
      </c>
      <c r="D35" s="145">
        <f t="shared" si="5"/>
        <v>6565.3846153846162</v>
      </c>
      <c r="E35" s="458">
        <f t="shared" si="4"/>
        <v>11149.891025641025</v>
      </c>
      <c r="F35" s="8"/>
      <c r="G35" s="714">
        <f t="shared" si="3"/>
        <v>169.82845147432138</v>
      </c>
      <c r="H35" s="714"/>
      <c r="I35" s="715">
        <f t="shared" si="0"/>
        <v>196.85542065044183</v>
      </c>
      <c r="J35" s="776"/>
      <c r="K35" s="205"/>
      <c r="L35" s="71"/>
      <c r="M35" s="71"/>
      <c r="N35" s="28"/>
      <c r="O35" s="28"/>
      <c r="P35" s="97"/>
      <c r="Q35" s="97"/>
    </row>
    <row r="36" spans="1:26" s="3" customFormat="1" ht="20.100000000000001" customHeight="1">
      <c r="A36" s="8" t="s">
        <v>185</v>
      </c>
      <c r="B36" s="143">
        <v>4740</v>
      </c>
      <c r="C36" s="187">
        <f t="shared" si="5"/>
        <v>5981</v>
      </c>
      <c r="D36" s="145">
        <f t="shared" si="5"/>
        <v>6583.2175925925931</v>
      </c>
      <c r="E36" s="458">
        <f t="shared" si="4"/>
        <v>9313.4259259259252</v>
      </c>
      <c r="F36" s="8"/>
      <c r="G36" s="714">
        <f t="shared" si="3"/>
        <v>141.4722481056277</v>
      </c>
      <c r="H36" s="714"/>
      <c r="I36" s="715">
        <f t="shared" si="0"/>
        <v>155.71686885012414</v>
      </c>
      <c r="J36" s="776"/>
      <c r="K36" s="205"/>
      <c r="L36" s="71"/>
      <c r="M36" s="71"/>
      <c r="N36" s="28"/>
      <c r="O36" s="28"/>
      <c r="P36" s="97"/>
      <c r="Q36" s="97"/>
    </row>
    <row r="37" spans="1:26" ht="20.100000000000001" customHeight="1">
      <c r="A37" s="5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26" ht="21.95" customHeight="1">
      <c r="A38" s="29" t="s">
        <v>253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26" ht="20.100000000000001" customHeight="1">
      <c r="A39" s="16"/>
    </row>
    <row r="40" spans="1:26" ht="84" customHeight="1">
      <c r="A40" s="606" t="s">
        <v>186</v>
      </c>
      <c r="B40" s="717" t="s">
        <v>215</v>
      </c>
      <c r="C40" s="718"/>
      <c r="D40" s="717" t="s">
        <v>412</v>
      </c>
      <c r="E40" s="719"/>
      <c r="F40" s="257"/>
      <c r="G40" s="720" t="s">
        <v>399</v>
      </c>
      <c r="H40" s="721"/>
      <c r="I40" s="717" t="s">
        <v>397</v>
      </c>
      <c r="J40" s="728"/>
      <c r="K40" s="719"/>
      <c r="L40" s="720" t="s">
        <v>398</v>
      </c>
      <c r="M40" s="781"/>
      <c r="N40" s="40"/>
      <c r="O40" s="40"/>
      <c r="P40" s="40"/>
      <c r="Q40" s="40"/>
    </row>
    <row r="41" spans="1:26" ht="173.25" customHeight="1">
      <c r="A41" s="606"/>
      <c r="B41" s="255" t="s">
        <v>56</v>
      </c>
      <c r="C41" s="255" t="s">
        <v>396</v>
      </c>
      <c r="D41" s="249" t="s">
        <v>216</v>
      </c>
      <c r="E41" s="249" t="s">
        <v>217</v>
      </c>
      <c r="F41" s="249"/>
      <c r="G41" s="249" t="s">
        <v>216</v>
      </c>
      <c r="H41" s="249" t="s">
        <v>217</v>
      </c>
      <c r="I41" s="249" t="s">
        <v>216</v>
      </c>
      <c r="J41" s="249" t="s">
        <v>217</v>
      </c>
      <c r="K41" s="249"/>
      <c r="L41" s="249" t="s">
        <v>216</v>
      </c>
      <c r="M41" s="256" t="s">
        <v>217</v>
      </c>
      <c r="N41" s="40"/>
      <c r="O41" s="40"/>
      <c r="P41" s="40"/>
      <c r="Q41" s="40"/>
    </row>
    <row r="42" spans="1:26" ht="18" customHeight="1">
      <c r="A42" s="7">
        <v>1</v>
      </c>
      <c r="B42" s="7">
        <v>2</v>
      </c>
      <c r="C42" s="7">
        <v>3</v>
      </c>
      <c r="D42" s="7">
        <v>4</v>
      </c>
      <c r="E42" s="7">
        <v>5</v>
      </c>
      <c r="F42" s="7"/>
      <c r="G42" s="7">
        <v>6</v>
      </c>
      <c r="H42" s="7">
        <v>7</v>
      </c>
      <c r="I42" s="7">
        <v>8</v>
      </c>
      <c r="J42" s="7">
        <v>9</v>
      </c>
      <c r="K42" s="7"/>
      <c r="L42" s="7">
        <v>10</v>
      </c>
      <c r="M42" s="7">
        <v>11</v>
      </c>
      <c r="N42" s="21"/>
      <c r="O42" s="21"/>
      <c r="P42" s="21"/>
      <c r="Q42" s="21"/>
      <c r="Z42" s="22"/>
    </row>
    <row r="43" spans="1:26" ht="20.100000000000001" customHeight="1">
      <c r="A43" s="225" t="s">
        <v>300</v>
      </c>
      <c r="B43" s="10">
        <v>100</v>
      </c>
      <c r="C43" s="10">
        <v>100</v>
      </c>
      <c r="D43" s="10">
        <f>'1.1.Фінансовий результат'!C13</f>
        <v>12014</v>
      </c>
      <c r="E43" s="10"/>
      <c r="F43" s="10"/>
      <c r="G43" s="10">
        <f>'1.1.Фінансовий результат'!D13</f>
        <v>12962.1</v>
      </c>
      <c r="H43" s="56"/>
      <c r="I43" s="10">
        <f>'1.1.Фінансовий результат'!E13</f>
        <v>13410.4</v>
      </c>
      <c r="J43" s="56"/>
      <c r="K43" s="56"/>
      <c r="L43" s="10">
        <f>'1.1.Фінансовий результат'!F13</f>
        <v>18975.39</v>
      </c>
      <c r="M43" s="56"/>
      <c r="N43" s="71"/>
      <c r="O43" s="71"/>
      <c r="P43" s="71"/>
      <c r="Q43" s="71"/>
    </row>
    <row r="44" spans="1:26" ht="20.100000000000001" customHeight="1">
      <c r="A44" s="8"/>
      <c r="B44" s="10"/>
      <c r="C44" s="10"/>
      <c r="D44" s="10"/>
      <c r="E44" s="10"/>
      <c r="F44" s="10"/>
      <c r="G44" s="10"/>
      <c r="H44" s="56"/>
      <c r="I44" s="10"/>
      <c r="J44" s="56"/>
      <c r="K44" s="56"/>
      <c r="L44" s="10"/>
      <c r="M44" s="56"/>
      <c r="N44" s="71"/>
      <c r="O44" s="71"/>
      <c r="P44" s="71"/>
      <c r="Q44" s="71"/>
    </row>
    <row r="45" spans="1:26" ht="20.100000000000001" customHeight="1">
      <c r="A45" s="8" t="s">
        <v>40</v>
      </c>
      <c r="B45" s="82">
        <v>100</v>
      </c>
      <c r="C45" s="82">
        <f>C43</f>
        <v>100</v>
      </c>
      <c r="D45" s="82">
        <f>D43</f>
        <v>12014</v>
      </c>
      <c r="E45" s="82"/>
      <c r="F45" s="82"/>
      <c r="G45" s="82">
        <f>G43</f>
        <v>12962.1</v>
      </c>
      <c r="H45" s="57"/>
      <c r="I45" s="82">
        <f>I43</f>
        <v>13410.4</v>
      </c>
      <c r="J45" s="57"/>
      <c r="K45" s="57"/>
      <c r="L45" s="82">
        <f>L43</f>
        <v>18975.39</v>
      </c>
      <c r="M45" s="57"/>
      <c r="N45" s="72"/>
      <c r="O45" s="72"/>
      <c r="P45" s="72"/>
      <c r="Q45" s="72"/>
    </row>
    <row r="46" spans="1:26" ht="20.100000000000001" customHeight="1">
      <c r="A46" s="18"/>
      <c r="B46" s="19"/>
      <c r="C46" s="19"/>
      <c r="D46" s="19"/>
      <c r="E46" s="19"/>
      <c r="F46" s="19"/>
      <c r="G46" s="19"/>
      <c r="H46" s="19"/>
      <c r="I46" s="11"/>
      <c r="J46" s="11"/>
      <c r="K46" s="11"/>
      <c r="L46" s="5"/>
      <c r="M46" s="5"/>
      <c r="N46" s="5"/>
      <c r="O46" s="5"/>
      <c r="P46" s="5"/>
      <c r="Q46" s="5"/>
    </row>
    <row r="47" spans="1:26" ht="21.95" customHeight="1">
      <c r="A47" s="5" t="s">
        <v>235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26" ht="81.75" customHeight="1">
      <c r="A48" s="7" t="s">
        <v>102</v>
      </c>
      <c r="B48" s="548" t="s">
        <v>54</v>
      </c>
      <c r="C48" s="730"/>
      <c r="D48" s="188"/>
      <c r="E48" s="7" t="s">
        <v>238</v>
      </c>
      <c r="F48" s="7"/>
      <c r="G48" s="7" t="s">
        <v>51</v>
      </c>
      <c r="H48" s="7" t="s">
        <v>218</v>
      </c>
      <c r="I48" s="7" t="s">
        <v>68</v>
      </c>
      <c r="J48" s="548" t="s">
        <v>19</v>
      </c>
      <c r="K48" s="549"/>
      <c r="L48" s="731"/>
      <c r="M48" s="730"/>
      <c r="N48" s="40"/>
      <c r="O48" s="40"/>
      <c r="P48" s="40"/>
      <c r="Q48" s="40"/>
    </row>
    <row r="49" spans="1:17" ht="18" customHeight="1">
      <c r="A49" s="6">
        <v>1</v>
      </c>
      <c r="B49" s="548">
        <v>2</v>
      </c>
      <c r="C49" s="730"/>
      <c r="D49" s="188"/>
      <c r="E49" s="6">
        <v>3</v>
      </c>
      <c r="F49" s="6"/>
      <c r="G49" s="6">
        <v>4</v>
      </c>
      <c r="H49" s="6">
        <v>5</v>
      </c>
      <c r="I49" s="62">
        <v>6</v>
      </c>
      <c r="J49" s="548">
        <v>7</v>
      </c>
      <c r="K49" s="549"/>
      <c r="L49" s="731"/>
      <c r="M49" s="741"/>
      <c r="N49" s="21"/>
      <c r="O49" s="21"/>
      <c r="P49" s="21"/>
      <c r="Q49" s="21"/>
    </row>
    <row r="50" spans="1:17" ht="20.100000000000001" customHeight="1">
      <c r="A50" s="8"/>
      <c r="B50" s="729"/>
      <c r="C50" s="730"/>
      <c r="D50" s="188"/>
      <c r="E50" s="56"/>
      <c r="F50" s="56"/>
      <c r="G50" s="56"/>
      <c r="H50" s="56"/>
      <c r="I50" s="10"/>
      <c r="J50" s="548"/>
      <c r="K50" s="549"/>
      <c r="L50" s="731"/>
      <c r="M50" s="730"/>
      <c r="N50" s="71"/>
      <c r="O50" s="71"/>
      <c r="P50" s="71"/>
      <c r="Q50" s="71"/>
    </row>
    <row r="51" spans="1:17" ht="20.100000000000001" customHeight="1">
      <c r="A51" s="8"/>
      <c r="B51" s="729"/>
      <c r="C51" s="730"/>
      <c r="D51" s="188"/>
      <c r="E51" s="63"/>
      <c r="F51" s="63"/>
      <c r="G51" s="56"/>
      <c r="H51" s="63"/>
      <c r="I51" s="64"/>
      <c r="J51" s="548"/>
      <c r="K51" s="549"/>
      <c r="L51" s="731"/>
      <c r="M51" s="730"/>
      <c r="N51" s="71"/>
      <c r="O51" s="71"/>
      <c r="P51" s="71"/>
      <c r="Q51" s="71"/>
    </row>
    <row r="52" spans="1:17" ht="20.100000000000001" customHeight="1">
      <c r="A52" s="8"/>
      <c r="B52" s="729"/>
      <c r="C52" s="730"/>
      <c r="D52" s="188"/>
      <c r="E52" s="56"/>
      <c r="F52" s="56"/>
      <c r="G52" s="56"/>
      <c r="H52" s="56"/>
      <c r="I52" s="10"/>
      <c r="J52" s="548"/>
      <c r="K52" s="549"/>
      <c r="L52" s="731"/>
      <c r="M52" s="730"/>
      <c r="N52" s="71"/>
      <c r="O52" s="71"/>
      <c r="P52" s="71"/>
      <c r="Q52" s="71"/>
    </row>
    <row r="53" spans="1:17" ht="20.100000000000001" customHeight="1">
      <c r="A53" s="8" t="s">
        <v>40</v>
      </c>
      <c r="B53" s="548" t="s">
        <v>20</v>
      </c>
      <c r="C53" s="730"/>
      <c r="D53" s="188"/>
      <c r="E53" s="7"/>
      <c r="F53" s="7"/>
      <c r="G53" s="7" t="s">
        <v>20</v>
      </c>
      <c r="H53" s="7" t="s">
        <v>20</v>
      </c>
      <c r="I53" s="7"/>
      <c r="J53" s="548" t="s">
        <v>20</v>
      </c>
      <c r="K53" s="549"/>
      <c r="L53" s="731"/>
      <c r="M53" s="730"/>
      <c r="N53" s="71"/>
      <c r="O53" s="71"/>
      <c r="P53" s="71"/>
      <c r="Q53" s="71"/>
    </row>
    <row r="54" spans="1:17" ht="20.100000000000001" customHeight="1">
      <c r="A54" s="1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"/>
      <c r="N54" s="3"/>
      <c r="O54" s="3"/>
      <c r="P54" s="3"/>
      <c r="Q54" s="3"/>
    </row>
    <row r="55" spans="1:17" ht="21.95" customHeight="1">
      <c r="A55" s="5" t="s">
        <v>236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20.100000000000001" customHeight="1">
      <c r="A56" s="5"/>
      <c r="B56" s="15"/>
      <c r="C56" s="15"/>
      <c r="D56" s="15"/>
      <c r="E56" s="5"/>
      <c r="F56" s="5"/>
      <c r="G56" s="5"/>
      <c r="H56" s="5"/>
      <c r="I56" s="5"/>
      <c r="J56" s="5"/>
      <c r="K56" s="5"/>
    </row>
    <row r="57" spans="1:17" ht="57.75" customHeight="1">
      <c r="A57" s="249" t="s">
        <v>50</v>
      </c>
      <c r="B57" s="717" t="s">
        <v>413</v>
      </c>
      <c r="C57" s="728"/>
      <c r="D57" s="719"/>
      <c r="E57" s="732" t="s">
        <v>228</v>
      </c>
      <c r="F57" s="733"/>
      <c r="G57" s="734"/>
      <c r="H57" s="778" t="s">
        <v>227</v>
      </c>
      <c r="I57" s="778"/>
      <c r="J57" s="732" t="s">
        <v>69</v>
      </c>
      <c r="K57" s="733"/>
      <c r="L57" s="777"/>
      <c r="M57" s="734"/>
      <c r="N57" s="40"/>
      <c r="O57" s="40"/>
      <c r="P57" s="40"/>
      <c r="Q57" s="40"/>
    </row>
    <row r="58" spans="1:17" ht="18" customHeight="1">
      <c r="A58" s="7">
        <v>1</v>
      </c>
      <c r="B58" s="548">
        <v>2</v>
      </c>
      <c r="C58" s="731"/>
      <c r="D58" s="102"/>
      <c r="E58" s="548">
        <v>3</v>
      </c>
      <c r="F58" s="549"/>
      <c r="G58" s="730"/>
      <c r="H58" s="779">
        <v>4</v>
      </c>
      <c r="I58" s="780"/>
      <c r="J58" s="548">
        <v>5</v>
      </c>
      <c r="K58" s="549"/>
      <c r="L58" s="740"/>
      <c r="M58" s="741"/>
      <c r="N58" s="21"/>
      <c r="O58" s="21"/>
      <c r="P58" s="21"/>
      <c r="Q58" s="21"/>
    </row>
    <row r="59" spans="1:17" ht="20.100000000000001" customHeight="1">
      <c r="A59" s="8" t="s">
        <v>219</v>
      </c>
      <c r="B59" s="726"/>
      <c r="C59" s="727"/>
      <c r="D59" s="191"/>
      <c r="E59" s="103"/>
      <c r="F59" s="137"/>
      <c r="G59" s="63"/>
      <c r="H59" s="106"/>
      <c r="I59" s="63"/>
      <c r="J59" s="104"/>
      <c r="K59" s="201"/>
      <c r="L59" s="102"/>
      <c r="M59" s="107"/>
      <c r="N59" s="71"/>
      <c r="O59" s="71"/>
      <c r="P59" s="71"/>
      <c r="Q59" s="71"/>
    </row>
    <row r="60" spans="1:17" ht="20.100000000000001" customHeight="1">
      <c r="A60" s="8" t="s">
        <v>82</v>
      </c>
      <c r="B60" s="726"/>
      <c r="C60" s="727"/>
      <c r="D60" s="191"/>
      <c r="E60" s="103"/>
      <c r="F60" s="137"/>
      <c r="G60" s="63"/>
      <c r="H60" s="106"/>
      <c r="I60" s="63"/>
      <c r="J60" s="104"/>
      <c r="K60" s="201"/>
      <c r="L60" s="102"/>
      <c r="M60" s="107"/>
      <c r="N60" s="71"/>
      <c r="O60" s="71"/>
      <c r="P60" s="71"/>
      <c r="Q60" s="71"/>
    </row>
    <row r="61" spans="1:17" ht="20.100000000000001" customHeight="1">
      <c r="A61" s="8"/>
      <c r="B61" s="726"/>
      <c r="C61" s="727"/>
      <c r="D61" s="191"/>
      <c r="E61" s="103"/>
      <c r="F61" s="137"/>
      <c r="G61" s="63"/>
      <c r="H61" s="106"/>
      <c r="I61" s="63"/>
      <c r="J61" s="104"/>
      <c r="K61" s="201"/>
      <c r="L61" s="102"/>
      <c r="M61" s="107"/>
      <c r="N61" s="71"/>
      <c r="O61" s="71"/>
      <c r="P61" s="71"/>
      <c r="Q61" s="71"/>
    </row>
    <row r="62" spans="1:17" ht="20.100000000000001" customHeight="1">
      <c r="A62" s="8" t="s">
        <v>220</v>
      </c>
      <c r="B62" s="726"/>
      <c r="C62" s="727"/>
      <c r="D62" s="191"/>
      <c r="E62" s="103"/>
      <c r="F62" s="137"/>
      <c r="G62" s="63"/>
      <c r="H62" s="106"/>
      <c r="I62" s="63"/>
      <c r="J62" s="104"/>
      <c r="K62" s="201"/>
      <c r="L62" s="102"/>
      <c r="M62" s="107"/>
      <c r="N62" s="71"/>
      <c r="O62" s="71"/>
      <c r="P62" s="71"/>
      <c r="Q62" s="71"/>
    </row>
    <row r="63" spans="1:17" ht="20.100000000000001" customHeight="1">
      <c r="A63" s="8" t="s">
        <v>83</v>
      </c>
      <c r="B63" s="726"/>
      <c r="C63" s="727"/>
      <c r="D63" s="191"/>
      <c r="E63" s="103"/>
      <c r="F63" s="137"/>
      <c r="G63" s="63"/>
      <c r="H63" s="106"/>
      <c r="I63" s="63"/>
      <c r="J63" s="104"/>
      <c r="K63" s="201"/>
      <c r="L63" s="102"/>
      <c r="M63" s="107"/>
      <c r="N63" s="71"/>
      <c r="O63" s="71"/>
      <c r="P63" s="71"/>
      <c r="Q63" s="71"/>
    </row>
    <row r="64" spans="1:17" ht="20.100000000000001" customHeight="1">
      <c r="A64" s="8"/>
      <c r="B64" s="726"/>
      <c r="C64" s="727"/>
      <c r="D64" s="191"/>
      <c r="E64" s="103"/>
      <c r="F64" s="137"/>
      <c r="G64" s="63"/>
      <c r="H64" s="106"/>
      <c r="I64" s="63"/>
      <c r="J64" s="104"/>
      <c r="K64" s="201"/>
      <c r="L64" s="102"/>
      <c r="M64" s="107"/>
      <c r="N64" s="71"/>
      <c r="O64" s="71"/>
      <c r="P64" s="71"/>
      <c r="Q64" s="71"/>
    </row>
    <row r="65" spans="1:36" ht="20.100000000000001" customHeight="1">
      <c r="A65" s="8" t="s">
        <v>221</v>
      </c>
      <c r="B65" s="726"/>
      <c r="C65" s="727"/>
      <c r="D65" s="191"/>
      <c r="E65" s="103"/>
      <c r="F65" s="137"/>
      <c r="G65" s="63"/>
      <c r="H65" s="106"/>
      <c r="I65" s="63"/>
      <c r="J65" s="104"/>
      <c r="K65" s="201"/>
      <c r="L65" s="102"/>
      <c r="M65" s="107"/>
      <c r="N65" s="71"/>
      <c r="O65" s="71"/>
      <c r="P65" s="71"/>
      <c r="Q65" s="71"/>
    </row>
    <row r="66" spans="1:36" ht="20.100000000000001" customHeight="1">
      <c r="A66" s="8" t="s">
        <v>82</v>
      </c>
      <c r="B66" s="726"/>
      <c r="C66" s="727"/>
      <c r="D66" s="191"/>
      <c r="E66" s="103"/>
      <c r="F66" s="137"/>
      <c r="G66" s="63"/>
      <c r="H66" s="106"/>
      <c r="I66" s="63"/>
      <c r="J66" s="104"/>
      <c r="K66" s="201"/>
      <c r="L66" s="102"/>
      <c r="M66" s="107"/>
      <c r="N66" s="71"/>
      <c r="O66" s="71"/>
      <c r="P66" s="71"/>
      <c r="Q66" s="71"/>
    </row>
    <row r="67" spans="1:36" ht="20.100000000000001" customHeight="1">
      <c r="A67" s="8"/>
      <c r="B67" s="726"/>
      <c r="C67" s="727"/>
      <c r="D67" s="191"/>
      <c r="E67" s="103"/>
      <c r="F67" s="137"/>
      <c r="G67" s="63"/>
      <c r="H67" s="106"/>
      <c r="I67" s="63"/>
      <c r="J67" s="104"/>
      <c r="K67" s="201"/>
      <c r="L67" s="102"/>
      <c r="M67" s="107"/>
      <c r="N67" s="71"/>
      <c r="O67" s="71"/>
      <c r="P67" s="71"/>
      <c r="Q67" s="71"/>
    </row>
    <row r="68" spans="1:36" ht="20.100000000000001" customHeight="1">
      <c r="A68" s="8" t="s">
        <v>40</v>
      </c>
      <c r="B68" s="726"/>
      <c r="C68" s="727"/>
      <c r="D68" s="191"/>
      <c r="E68" s="103"/>
      <c r="F68" s="137"/>
      <c r="G68" s="105"/>
      <c r="H68" s="106"/>
      <c r="I68" s="105"/>
      <c r="J68" s="108"/>
      <c r="K68" s="207"/>
      <c r="L68" s="102"/>
      <c r="M68" s="107"/>
      <c r="N68" s="71"/>
      <c r="O68" s="71"/>
      <c r="P68" s="71"/>
      <c r="Q68" s="71"/>
    </row>
    <row r="69" spans="1:36">
      <c r="E69" s="27"/>
      <c r="F69" s="27"/>
      <c r="G69" s="27"/>
      <c r="H69" s="27"/>
    </row>
    <row r="70" spans="1:36">
      <c r="A70" s="725" t="s">
        <v>254</v>
      </c>
      <c r="B70" s="725"/>
      <c r="C70" s="725"/>
      <c r="D70" s="725"/>
      <c r="E70" s="725"/>
      <c r="F70" s="725"/>
      <c r="G70" s="725"/>
      <c r="H70" s="725"/>
      <c r="I70" s="725"/>
      <c r="J70" s="725"/>
      <c r="K70" s="725"/>
      <c r="L70" s="725"/>
      <c r="M70" s="725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6" ht="18.75" customHeight="1">
      <c r="A71" s="738" t="s">
        <v>35</v>
      </c>
      <c r="B71" s="766" t="s">
        <v>148</v>
      </c>
      <c r="C71" s="767"/>
      <c r="D71" s="198"/>
      <c r="E71" s="735" t="s">
        <v>149</v>
      </c>
      <c r="F71" s="735" t="s">
        <v>303</v>
      </c>
      <c r="G71" s="735" t="s">
        <v>302</v>
      </c>
      <c r="H71" s="735" t="s">
        <v>150</v>
      </c>
      <c r="I71" s="643" t="s">
        <v>239</v>
      </c>
      <c r="J71" s="661"/>
      <c r="K71" s="661"/>
      <c r="L71" s="661"/>
      <c r="M71" s="661"/>
      <c r="N71" s="644"/>
      <c r="O71" s="40"/>
      <c r="P71" s="40"/>
      <c r="Q71" s="40"/>
      <c r="R71" s="40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:36" ht="57" customHeight="1">
      <c r="A72" s="739"/>
      <c r="B72" s="768"/>
      <c r="C72" s="769"/>
      <c r="D72" s="199"/>
      <c r="E72" s="736"/>
      <c r="F72" s="736"/>
      <c r="G72" s="736"/>
      <c r="H72" s="736"/>
      <c r="I72" s="141" t="s">
        <v>151</v>
      </c>
      <c r="J72" s="202" t="s">
        <v>152</v>
      </c>
      <c r="K72" s="65" t="s">
        <v>401</v>
      </c>
      <c r="L72" s="203" t="s">
        <v>24</v>
      </c>
      <c r="M72" s="65" t="s">
        <v>153</v>
      </c>
      <c r="N72" s="142" t="s">
        <v>154</v>
      </c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21"/>
      <c r="AB72" s="21"/>
      <c r="AC72" s="21"/>
      <c r="AD72" s="21"/>
      <c r="AE72" s="21"/>
    </row>
    <row r="73" spans="1:36" ht="48" customHeight="1">
      <c r="A73" s="68" t="s">
        <v>400</v>
      </c>
      <c r="B73" s="723" t="s">
        <v>337</v>
      </c>
      <c r="C73" s="724"/>
      <c r="D73" s="190"/>
      <c r="E73" s="65" t="s">
        <v>336</v>
      </c>
      <c r="F73" s="65" t="s">
        <v>301</v>
      </c>
      <c r="G73" s="146" t="s">
        <v>405</v>
      </c>
      <c r="H73" s="86"/>
      <c r="I73" s="413" t="s">
        <v>406</v>
      </c>
      <c r="J73" s="168"/>
      <c r="K73" s="95" t="s">
        <v>402</v>
      </c>
      <c r="L73" s="169" t="s">
        <v>403</v>
      </c>
      <c r="M73" s="414" t="s">
        <v>404</v>
      </c>
      <c r="N73" s="66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</row>
    <row r="74" spans="1:36">
      <c r="A74" s="20"/>
      <c r="B74" s="162"/>
      <c r="C74" s="163"/>
      <c r="D74" s="163"/>
      <c r="E74" s="73"/>
      <c r="F74" s="73"/>
      <c r="G74" s="164"/>
      <c r="H74" s="165"/>
      <c r="I74" s="166"/>
      <c r="J74" s="166"/>
      <c r="K74" s="166"/>
      <c r="L74" s="166"/>
      <c r="M74" s="166"/>
      <c r="N74" s="74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J74" s="4"/>
    </row>
    <row r="75" spans="1:36">
      <c r="A75" s="725" t="s">
        <v>255</v>
      </c>
      <c r="B75" s="725"/>
      <c r="C75" s="725"/>
      <c r="D75" s="725"/>
      <c r="E75" s="725"/>
      <c r="F75" s="725"/>
      <c r="G75" s="725"/>
      <c r="H75" s="725"/>
      <c r="I75" s="725"/>
      <c r="J75" s="725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6" ht="18.75" customHeight="1">
      <c r="A76" s="772" t="s">
        <v>35</v>
      </c>
      <c r="B76" s="760" t="s">
        <v>155</v>
      </c>
      <c r="C76" s="761"/>
      <c r="D76" s="192"/>
      <c r="E76" s="754" t="s">
        <v>148</v>
      </c>
      <c r="F76" s="754" t="s">
        <v>226</v>
      </c>
      <c r="G76" s="754" t="s">
        <v>302</v>
      </c>
      <c r="H76" s="754" t="s">
        <v>156</v>
      </c>
      <c r="I76" s="548" t="s">
        <v>157</v>
      </c>
      <c r="J76" s="549"/>
      <c r="K76" s="549"/>
      <c r="L76" s="549"/>
      <c r="M76" s="549"/>
      <c r="N76" s="617"/>
      <c r="O76" s="40"/>
      <c r="P76" s="40"/>
      <c r="Q76" s="40"/>
      <c r="R76" s="40"/>
      <c r="S76" s="40"/>
      <c r="T76" s="40"/>
      <c r="U76" s="40"/>
      <c r="V76" s="40"/>
      <c r="W76" s="40"/>
      <c r="X76" s="21"/>
      <c r="Y76" s="21"/>
      <c r="Z76" s="21"/>
      <c r="AA76" s="21"/>
      <c r="AB76" s="21"/>
      <c r="AC76" s="21"/>
      <c r="AD76" s="21"/>
      <c r="AE76" s="21"/>
    </row>
    <row r="77" spans="1:36" ht="18.75" customHeight="1">
      <c r="A77" s="773"/>
      <c r="B77" s="762"/>
      <c r="C77" s="763"/>
      <c r="D77" s="193"/>
      <c r="E77" s="759"/>
      <c r="F77" s="759"/>
      <c r="G77" s="759"/>
      <c r="H77" s="759"/>
      <c r="I77" s="754" t="s">
        <v>158</v>
      </c>
      <c r="J77" s="548" t="s">
        <v>78</v>
      </c>
      <c r="K77" s="549"/>
      <c r="L77" s="549"/>
      <c r="M77" s="549"/>
      <c r="N77" s="617"/>
      <c r="O77" s="40"/>
      <c r="P77" s="40"/>
      <c r="Q77" s="40"/>
      <c r="R77" s="40"/>
      <c r="S77" s="40"/>
      <c r="T77" s="40"/>
      <c r="U77" s="40"/>
      <c r="V77" s="40"/>
      <c r="W77" s="40"/>
      <c r="X77" s="21"/>
      <c r="Y77" s="21"/>
      <c r="Z77" s="21"/>
      <c r="AA77" s="21"/>
      <c r="AB77" s="21"/>
      <c r="AC77" s="21"/>
      <c r="AD77" s="21"/>
      <c r="AE77" s="21"/>
    </row>
    <row r="78" spans="1:36" ht="11.25" customHeight="1">
      <c r="A78" s="774"/>
      <c r="B78" s="764"/>
      <c r="C78" s="765"/>
      <c r="D78" s="194"/>
      <c r="E78" s="755"/>
      <c r="F78" s="755"/>
      <c r="G78" s="755"/>
      <c r="H78" s="755"/>
      <c r="I78" s="755"/>
      <c r="J78" s="7" t="s">
        <v>240</v>
      </c>
      <c r="K78" s="7"/>
      <c r="L78" s="7" t="s">
        <v>241</v>
      </c>
      <c r="M78" s="7" t="s">
        <v>242</v>
      </c>
      <c r="N78" s="7" t="s">
        <v>243</v>
      </c>
      <c r="O78" s="40"/>
      <c r="P78" s="40"/>
      <c r="Q78" s="40"/>
      <c r="R78" s="40"/>
      <c r="S78" s="40"/>
      <c r="T78" s="40"/>
      <c r="U78" s="40"/>
      <c r="V78" s="40"/>
      <c r="W78" s="40"/>
      <c r="X78" s="21"/>
      <c r="Y78" s="21"/>
      <c r="Z78" s="21"/>
      <c r="AA78" s="21"/>
      <c r="AB78" s="21"/>
      <c r="AC78" s="21"/>
      <c r="AD78" s="21"/>
      <c r="AE78" s="21"/>
    </row>
    <row r="79" spans="1:36">
      <c r="A79" s="45">
        <v>1</v>
      </c>
      <c r="B79" s="723">
        <v>2</v>
      </c>
      <c r="C79" s="724"/>
      <c r="D79" s="190"/>
      <c r="E79" s="65">
        <v>3</v>
      </c>
      <c r="F79" s="65"/>
      <c r="G79" s="65">
        <v>4</v>
      </c>
      <c r="H79" s="65">
        <v>5</v>
      </c>
      <c r="I79" s="65">
        <v>6</v>
      </c>
      <c r="J79" s="65">
        <v>7</v>
      </c>
      <c r="K79" s="65"/>
      <c r="L79" s="65">
        <v>8</v>
      </c>
      <c r="M79" s="65">
        <v>9</v>
      </c>
      <c r="N79" s="65">
        <v>10</v>
      </c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50"/>
      <c r="AA79" s="50"/>
      <c r="AB79" s="50"/>
      <c r="AC79" s="50"/>
      <c r="AD79" s="50"/>
      <c r="AE79" s="50"/>
    </row>
    <row r="80" spans="1:36">
      <c r="A80" s="68" t="s">
        <v>40</v>
      </c>
      <c r="B80" s="770"/>
      <c r="C80" s="771"/>
      <c r="D80" s="195"/>
      <c r="E80" s="68"/>
      <c r="F80" s="68"/>
      <c r="G80" s="68"/>
      <c r="H80" s="68"/>
      <c r="I80" s="85">
        <v>0</v>
      </c>
      <c r="J80" s="68"/>
      <c r="K80" s="68"/>
      <c r="L80" s="68"/>
      <c r="M80" s="68"/>
      <c r="N80" s="68"/>
      <c r="O80" s="20"/>
      <c r="P80" s="20"/>
      <c r="Q80" s="20"/>
      <c r="R80" s="20"/>
      <c r="S80" s="20"/>
      <c r="T80" s="20"/>
      <c r="U80" s="20"/>
      <c r="V80" s="20"/>
      <c r="W80" s="20"/>
      <c r="X80" s="71"/>
      <c r="Y80" s="71"/>
      <c r="Z80" s="71"/>
      <c r="AA80" s="71"/>
      <c r="AB80" s="71"/>
      <c r="AC80" s="71"/>
      <c r="AD80" s="71"/>
      <c r="AE80" s="71"/>
    </row>
    <row r="81" spans="1:35">
      <c r="A81" s="725" t="s">
        <v>237</v>
      </c>
      <c r="B81" s="725"/>
      <c r="C81" s="725"/>
      <c r="D81" s="725"/>
      <c r="E81" s="725"/>
      <c r="F81" s="725"/>
      <c r="G81" s="725"/>
      <c r="H81" s="725"/>
      <c r="I81" s="22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2"/>
      <c r="Y81" s="775" t="s">
        <v>175</v>
      </c>
      <c r="Z81" s="775"/>
      <c r="AA81" s="775"/>
      <c r="AB81" s="775"/>
      <c r="AC81" s="775"/>
      <c r="AD81" s="775"/>
      <c r="AE81" s="775"/>
    </row>
    <row r="82" spans="1:35" ht="18.75" customHeight="1">
      <c r="A82" s="606" t="s">
        <v>35</v>
      </c>
      <c r="B82" s="746" t="s">
        <v>176</v>
      </c>
      <c r="C82" s="747"/>
      <c r="D82" s="106"/>
      <c r="E82" s="549" t="s">
        <v>39</v>
      </c>
      <c r="F82" s="549"/>
      <c r="G82" s="549"/>
      <c r="H82" s="549"/>
      <c r="I82" s="549"/>
      <c r="J82" s="617"/>
      <c r="K82" s="200"/>
      <c r="L82" s="548" t="s">
        <v>70</v>
      </c>
      <c r="M82" s="549"/>
      <c r="N82" s="549"/>
      <c r="O82" s="549"/>
      <c r="P82" s="617"/>
      <c r="Q82" s="548" t="s">
        <v>200</v>
      </c>
      <c r="R82" s="549"/>
      <c r="S82" s="549"/>
      <c r="T82" s="549"/>
      <c r="U82" s="617"/>
      <c r="V82" s="548" t="s">
        <v>103</v>
      </c>
      <c r="W82" s="549"/>
      <c r="X82" s="549"/>
      <c r="Y82" s="549"/>
      <c r="Z82" s="617"/>
      <c r="AA82" s="606" t="s">
        <v>40</v>
      </c>
      <c r="AB82" s="606"/>
      <c r="AC82" s="606"/>
      <c r="AD82" s="606"/>
      <c r="AE82" s="606"/>
    </row>
    <row r="83" spans="1:35" ht="18.75" customHeight="1">
      <c r="A83" s="606"/>
      <c r="B83" s="756"/>
      <c r="C83" s="749"/>
      <c r="D83" s="754" t="s">
        <v>107</v>
      </c>
      <c r="E83" s="606" t="s">
        <v>78</v>
      </c>
      <c r="F83" s="606"/>
      <c r="G83" s="606"/>
      <c r="H83" s="606"/>
      <c r="I83" s="606"/>
      <c r="J83" s="606"/>
      <c r="K83" s="606"/>
      <c r="L83" s="754" t="s">
        <v>107</v>
      </c>
      <c r="M83" s="548" t="s">
        <v>78</v>
      </c>
      <c r="N83" s="731"/>
      <c r="O83" s="731"/>
      <c r="P83" s="730"/>
      <c r="Q83" s="754" t="s">
        <v>335</v>
      </c>
      <c r="R83" s="548" t="s">
        <v>78</v>
      </c>
      <c r="S83" s="549"/>
      <c r="T83" s="549"/>
      <c r="U83" s="617"/>
      <c r="V83" s="754" t="s">
        <v>333</v>
      </c>
      <c r="W83" s="548" t="s">
        <v>334</v>
      </c>
      <c r="X83" s="549"/>
      <c r="Y83" s="549"/>
      <c r="Z83" s="617"/>
      <c r="AA83" s="606" t="s">
        <v>335</v>
      </c>
      <c r="AB83" s="606" t="s">
        <v>334</v>
      </c>
      <c r="AC83" s="606"/>
      <c r="AD83" s="606"/>
      <c r="AE83" s="606"/>
    </row>
    <row r="84" spans="1:35">
      <c r="A84" s="606"/>
      <c r="B84" s="757"/>
      <c r="C84" s="751"/>
      <c r="D84" s="755"/>
      <c r="E84" s="439" t="s">
        <v>244</v>
      </c>
      <c r="F84" s="136"/>
      <c r="G84" s="412" t="s">
        <v>241</v>
      </c>
      <c r="H84" s="412" t="s">
        <v>241</v>
      </c>
      <c r="I84" s="101" t="s">
        <v>242</v>
      </c>
      <c r="J84" s="412" t="s">
        <v>243</v>
      </c>
      <c r="K84" s="101" t="s">
        <v>243</v>
      </c>
      <c r="L84" s="758"/>
      <c r="M84" s="7" t="s">
        <v>244</v>
      </c>
      <c r="N84" s="7" t="s">
        <v>241</v>
      </c>
      <c r="O84" s="7" t="s">
        <v>242</v>
      </c>
      <c r="P84" s="7" t="s">
        <v>243</v>
      </c>
      <c r="Q84" s="758"/>
      <c r="R84" s="7" t="s">
        <v>58</v>
      </c>
      <c r="S84" s="7" t="s">
        <v>59</v>
      </c>
      <c r="T84" s="7" t="s">
        <v>57</v>
      </c>
      <c r="U84" s="7" t="s">
        <v>55</v>
      </c>
      <c r="V84" s="758"/>
      <c r="W84" s="7" t="s">
        <v>58</v>
      </c>
      <c r="X84" s="7" t="s">
        <v>59</v>
      </c>
      <c r="Y84" s="7" t="s">
        <v>57</v>
      </c>
      <c r="Z84" s="7" t="s">
        <v>55</v>
      </c>
      <c r="AA84" s="606"/>
      <c r="AB84" s="7" t="s">
        <v>58</v>
      </c>
      <c r="AC84" s="7" t="s">
        <v>59</v>
      </c>
      <c r="AD84" s="7" t="s">
        <v>57</v>
      </c>
      <c r="AE84" s="7" t="s">
        <v>55</v>
      </c>
    </row>
    <row r="85" spans="1:35">
      <c r="A85" s="7">
        <v>1</v>
      </c>
      <c r="B85" s="548">
        <v>2</v>
      </c>
      <c r="C85" s="730"/>
      <c r="D85" s="209">
        <v>3</v>
      </c>
      <c r="E85" s="7">
        <v>4</v>
      </c>
      <c r="F85" s="7"/>
      <c r="G85" s="7">
        <v>5</v>
      </c>
      <c r="H85" s="7">
        <v>5</v>
      </c>
      <c r="I85" s="7">
        <v>6</v>
      </c>
      <c r="J85" s="7">
        <v>7</v>
      </c>
      <c r="K85" s="7">
        <v>7</v>
      </c>
      <c r="L85" s="7">
        <v>8</v>
      </c>
      <c r="M85" s="7">
        <v>9</v>
      </c>
      <c r="N85" s="7">
        <v>10</v>
      </c>
      <c r="O85" s="7">
        <v>11</v>
      </c>
      <c r="P85" s="7">
        <v>12</v>
      </c>
      <c r="Q85" s="7">
        <v>13</v>
      </c>
      <c r="R85" s="7">
        <v>14</v>
      </c>
      <c r="S85" s="7">
        <v>15</v>
      </c>
      <c r="T85" s="7">
        <v>16</v>
      </c>
      <c r="U85" s="7">
        <v>17</v>
      </c>
      <c r="V85" s="7">
        <v>18</v>
      </c>
      <c r="W85" s="7">
        <v>19</v>
      </c>
      <c r="X85" s="6">
        <v>20</v>
      </c>
      <c r="Y85" s="6">
        <v>21</v>
      </c>
      <c r="Z85" s="6">
        <v>22</v>
      </c>
      <c r="AA85" s="6">
        <v>23</v>
      </c>
      <c r="AB85" s="6">
        <v>24</v>
      </c>
      <c r="AC85" s="6">
        <v>25</v>
      </c>
      <c r="AD85" s="6">
        <v>26</v>
      </c>
      <c r="AE85" s="6">
        <v>27</v>
      </c>
    </row>
    <row r="86" spans="1:35" ht="41.25" customHeight="1">
      <c r="A86" s="67" t="str">
        <f>'4.1.Кап. інвестиції'!A11</f>
        <v>Придбання автомобіля сміттєвоза ВЛІВ Міні Б</v>
      </c>
      <c r="B86" s="753"/>
      <c r="C86" s="730"/>
      <c r="D86" s="210"/>
      <c r="E86" s="419"/>
      <c r="F86" s="419"/>
      <c r="G86" s="95"/>
      <c r="H86" s="95"/>
      <c r="I86" s="418"/>
      <c r="J86" s="418"/>
      <c r="K86" s="418"/>
      <c r="L86" s="420">
        <f>M86+N86+O86+P86</f>
        <v>1746</v>
      </c>
      <c r="M86" s="420">
        <f>'4.1.Кап. інвестиції'!G11</f>
        <v>0</v>
      </c>
      <c r="N86" s="420">
        <f>'4.1.Кап. інвестиції'!H11</f>
        <v>1746</v>
      </c>
      <c r="O86" s="420">
        <f>'4.1.Кап. інвестиції'!I11</f>
        <v>0</v>
      </c>
      <c r="P86" s="420">
        <f>'4.1.Кап. інвестиції'!J11</f>
        <v>0</v>
      </c>
      <c r="Q86" s="420"/>
      <c r="R86" s="96"/>
      <c r="S86" s="96"/>
      <c r="T86" s="96"/>
      <c r="U86" s="96"/>
      <c r="V86" s="420"/>
      <c r="W86" s="96"/>
      <c r="X86" s="96"/>
      <c r="Y86" s="96"/>
      <c r="Z86" s="96"/>
      <c r="AA86" s="420">
        <f>AB86+AC86+AD86+AE86</f>
        <v>1746</v>
      </c>
      <c r="AB86" s="151">
        <f>E86+M86+R86+W86</f>
        <v>0</v>
      </c>
      <c r="AC86" s="151">
        <f t="shared" ref="AC86:AE86" si="6">F86+N86+S86+X86</f>
        <v>1746</v>
      </c>
      <c r="AD86" s="151">
        <f t="shared" si="6"/>
        <v>0</v>
      </c>
      <c r="AE86" s="151">
        <f t="shared" si="6"/>
        <v>0</v>
      </c>
    </row>
    <row r="87" spans="1:35" ht="65.25" customHeight="1">
      <c r="A87" s="67" t="str">
        <f>'4.1.Кап. інвестиції'!A12</f>
        <v xml:space="preserve">Придбання 50 контейнерів для збирання твердих побутових відходів 1,1м3 на кладовище міста </v>
      </c>
      <c r="B87" s="208"/>
      <c r="C87" s="188"/>
      <c r="D87" s="210">
        <v>0</v>
      </c>
      <c r="E87" s="84"/>
      <c r="F87" s="84"/>
      <c r="G87" s="95"/>
      <c r="H87" s="95"/>
      <c r="I87" s="58"/>
      <c r="J87" s="58"/>
      <c r="K87" s="58"/>
      <c r="L87" s="94">
        <f>M87+N87+O87+P87</f>
        <v>474.9</v>
      </c>
      <c r="M87" s="420">
        <f>'4.1.Кап. інвестиції'!G12</f>
        <v>0</v>
      </c>
      <c r="N87" s="420">
        <f>'4.1.Кап. інвестиції'!H12</f>
        <v>474.9</v>
      </c>
      <c r="O87" s="420">
        <f>'4.1.Кап. інвестиції'!I12</f>
        <v>0</v>
      </c>
      <c r="P87" s="420">
        <f>'4.1.Кап. інвестиції'!J12</f>
        <v>0</v>
      </c>
      <c r="Q87" s="94">
        <v>0</v>
      </c>
      <c r="R87" s="96">
        <v>0</v>
      </c>
      <c r="S87" s="96">
        <v>0</v>
      </c>
      <c r="T87" s="96">
        <v>0</v>
      </c>
      <c r="U87" s="96">
        <v>0</v>
      </c>
      <c r="V87" s="94"/>
      <c r="W87" s="96"/>
      <c r="X87" s="96"/>
      <c r="Y87" s="96"/>
      <c r="Z87" s="96"/>
      <c r="AA87" s="420">
        <f t="shared" ref="AA87:AA92" si="7">AB87+AC87+AD87+AE87</f>
        <v>474.9</v>
      </c>
      <c r="AB87" s="151">
        <f t="shared" ref="AB87:AB92" si="8">E87+M87+R87+W87</f>
        <v>0</v>
      </c>
      <c r="AC87" s="151">
        <f t="shared" ref="AC87:AC92" si="9">F87+N87+S87+X87</f>
        <v>474.9</v>
      </c>
      <c r="AD87" s="151">
        <f t="shared" ref="AD87:AD92" si="10">G87+O87+T87+Y87</f>
        <v>0</v>
      </c>
      <c r="AE87" s="151">
        <f t="shared" ref="AE87:AE92" si="11">H87+P87+U87+Z87</f>
        <v>0</v>
      </c>
    </row>
    <row r="88" spans="1:35" ht="36.75" customHeight="1">
      <c r="A88" s="67" t="str">
        <f>'4.1.Кап. інвестиції'!A13</f>
        <v xml:space="preserve">Придбання   автобуса  марки "АТАМАН" </v>
      </c>
      <c r="B88" s="426"/>
      <c r="C88" s="421"/>
      <c r="D88" s="210"/>
      <c r="E88" s="419"/>
      <c r="F88" s="419"/>
      <c r="G88" s="95"/>
      <c r="H88" s="95"/>
      <c r="I88" s="418"/>
      <c r="J88" s="418"/>
      <c r="K88" s="418"/>
      <c r="L88" s="420">
        <f t="shared" ref="L88:L89" si="12">M88+N88+O88+P88</f>
        <v>1998</v>
      </c>
      <c r="M88" s="420">
        <f>'4.1.Кап. інвестиції'!G13</f>
        <v>0</v>
      </c>
      <c r="N88" s="420">
        <f>'4.1.Кап. інвестиції'!H13</f>
        <v>1998</v>
      </c>
      <c r="O88" s="420">
        <f>'4.1.Кап. інвестиції'!I13</f>
        <v>0</v>
      </c>
      <c r="P88" s="420">
        <f>'4.1.Кап. інвестиції'!J13</f>
        <v>0</v>
      </c>
      <c r="Q88" s="420"/>
      <c r="R88" s="96"/>
      <c r="S88" s="96"/>
      <c r="T88" s="96"/>
      <c r="U88" s="96"/>
      <c r="V88" s="420"/>
      <c r="W88" s="96"/>
      <c r="X88" s="96"/>
      <c r="Y88" s="96"/>
      <c r="Z88" s="96"/>
      <c r="AA88" s="420">
        <f t="shared" si="7"/>
        <v>1998</v>
      </c>
      <c r="AB88" s="151">
        <f t="shared" si="8"/>
        <v>0</v>
      </c>
      <c r="AC88" s="151">
        <f t="shared" si="9"/>
        <v>1998</v>
      </c>
      <c r="AD88" s="151">
        <f t="shared" si="10"/>
        <v>0</v>
      </c>
      <c r="AE88" s="151">
        <f t="shared" si="11"/>
        <v>0</v>
      </c>
    </row>
    <row r="89" spans="1:35" ht="135" customHeight="1">
      <c r="A89" s="67" t="str">
        <f>'4.1.Кап. інвестиції'!A14</f>
        <v>Придбання   автомобіля (автомобіля вантажопасажирського)марки FORD TRANSIT Y363 Kombi          для транспортування до моргу померлих на судмедекспертизу</v>
      </c>
      <c r="B89" s="426"/>
      <c r="C89" s="421"/>
      <c r="D89" s="210"/>
      <c r="E89" s="419"/>
      <c r="F89" s="419"/>
      <c r="G89" s="95"/>
      <c r="H89" s="95"/>
      <c r="I89" s="418"/>
      <c r="J89" s="418"/>
      <c r="K89" s="418"/>
      <c r="L89" s="420">
        <f t="shared" si="12"/>
        <v>945</v>
      </c>
      <c r="M89" s="420">
        <f>'4.1.Кап. інвестиції'!G14</f>
        <v>0</v>
      </c>
      <c r="N89" s="420">
        <f>'4.1.Кап. інвестиції'!H14</f>
        <v>0</v>
      </c>
      <c r="O89" s="420">
        <f>'4.1.Кап. інвестиції'!I14</f>
        <v>0</v>
      </c>
      <c r="P89" s="420">
        <f>'4.1.Кап. інвестиції'!J14</f>
        <v>945</v>
      </c>
      <c r="Q89" s="420"/>
      <c r="R89" s="96"/>
      <c r="S89" s="96"/>
      <c r="T89" s="96"/>
      <c r="U89" s="96"/>
      <c r="V89" s="420"/>
      <c r="W89" s="96"/>
      <c r="X89" s="96"/>
      <c r="Y89" s="96"/>
      <c r="Z89" s="96"/>
      <c r="AA89" s="420">
        <f t="shared" si="7"/>
        <v>945</v>
      </c>
      <c r="AB89" s="151">
        <f t="shared" si="8"/>
        <v>0</v>
      </c>
      <c r="AC89" s="151">
        <f t="shared" si="9"/>
        <v>0</v>
      </c>
      <c r="AD89" s="151">
        <f t="shared" si="10"/>
        <v>0</v>
      </c>
      <c r="AE89" s="151">
        <f t="shared" si="11"/>
        <v>945</v>
      </c>
    </row>
    <row r="90" spans="1:35" ht="72.75" customHeight="1">
      <c r="A90" s="67" t="str">
        <f>'4.1.Кап. інвестиції'!A15</f>
        <v>Придбання автомобіля МАЗ 437№2Супер Міні( для вивезення сміття з кладовищ міста)</v>
      </c>
      <c r="B90" s="753"/>
      <c r="C90" s="730"/>
      <c r="D90" s="210">
        <v>0</v>
      </c>
      <c r="E90" s="84"/>
      <c r="F90" s="84"/>
      <c r="G90" s="95"/>
      <c r="H90" s="95"/>
      <c r="I90" s="58"/>
      <c r="J90" s="58"/>
      <c r="K90" s="58"/>
      <c r="L90" s="94">
        <f>M90+N90+O90+P90</f>
        <v>0</v>
      </c>
      <c r="M90" s="420">
        <f>'4.1.Кап. інвестиції'!G15</f>
        <v>0</v>
      </c>
      <c r="N90" s="420">
        <f>'4.1.Кап. інвестиції'!H15</f>
        <v>0</v>
      </c>
      <c r="O90" s="420">
        <f>'4.1.Кап. інвестиції'!I15</f>
        <v>0</v>
      </c>
      <c r="P90" s="420">
        <f>'4.1.Кап. інвестиції'!J15</f>
        <v>0</v>
      </c>
      <c r="Q90" s="94">
        <v>0</v>
      </c>
      <c r="R90" s="96">
        <v>0</v>
      </c>
      <c r="S90" s="96">
        <v>0</v>
      </c>
      <c r="T90" s="96">
        <v>0</v>
      </c>
      <c r="U90" s="96">
        <v>0</v>
      </c>
      <c r="V90" s="94"/>
      <c r="W90" s="96"/>
      <c r="X90" s="96"/>
      <c r="Y90" s="96"/>
      <c r="Z90" s="96"/>
      <c r="AA90" s="420">
        <f t="shared" si="7"/>
        <v>0</v>
      </c>
      <c r="AB90" s="151">
        <f t="shared" si="8"/>
        <v>0</v>
      </c>
      <c r="AC90" s="151">
        <f t="shared" si="9"/>
        <v>0</v>
      </c>
      <c r="AD90" s="151">
        <f t="shared" si="10"/>
        <v>0</v>
      </c>
      <c r="AE90" s="151">
        <f t="shared" si="11"/>
        <v>0</v>
      </c>
    </row>
    <row r="91" spans="1:35" ht="45" customHeight="1">
      <c r="A91" s="67" t="str">
        <f>'4.1.Кап. інвестиції'!A16</f>
        <v>Екскаватор - навантажувач "Катерпіллар"</v>
      </c>
      <c r="B91" s="426"/>
      <c r="C91" s="421"/>
      <c r="D91" s="210"/>
      <c r="E91" s="419"/>
      <c r="F91" s="419"/>
      <c r="G91" s="95"/>
      <c r="H91" s="95"/>
      <c r="I91" s="418"/>
      <c r="J91" s="418"/>
      <c r="K91" s="418"/>
      <c r="L91" s="420">
        <f t="shared" ref="L91:L92" si="13">M91+N91+O91+P91</f>
        <v>1890</v>
      </c>
      <c r="M91" s="420">
        <f>'4.1.Кап. інвестиції'!G16</f>
        <v>0</v>
      </c>
      <c r="N91" s="420">
        <f>'4.1.Кап. інвестиції'!H16</f>
        <v>0</v>
      </c>
      <c r="O91" s="420">
        <f>'4.1.Кап. інвестиції'!I16</f>
        <v>0</v>
      </c>
      <c r="P91" s="420">
        <f>'4.1.Кап. інвестиції'!J16</f>
        <v>1890</v>
      </c>
      <c r="Q91" s="420"/>
      <c r="R91" s="96"/>
      <c r="S91" s="96"/>
      <c r="T91" s="96"/>
      <c r="U91" s="96"/>
      <c r="V91" s="420"/>
      <c r="W91" s="96"/>
      <c r="X91" s="96"/>
      <c r="Y91" s="96"/>
      <c r="Z91" s="96"/>
      <c r="AA91" s="420">
        <f t="shared" si="7"/>
        <v>1890</v>
      </c>
      <c r="AB91" s="151">
        <f t="shared" si="8"/>
        <v>0</v>
      </c>
      <c r="AC91" s="151">
        <f t="shared" si="9"/>
        <v>0</v>
      </c>
      <c r="AD91" s="151">
        <f t="shared" si="10"/>
        <v>0</v>
      </c>
      <c r="AE91" s="151">
        <f t="shared" si="11"/>
        <v>1890</v>
      </c>
    </row>
    <row r="92" spans="1:35" ht="84" customHeight="1">
      <c r="A92" s="67" t="str">
        <f>'4.1.Кап. інвестиції'!A17</f>
        <v>Мікроавтобус для транспортування до моргу померлих на судмедекспертизу</v>
      </c>
      <c r="B92" s="426"/>
      <c r="C92" s="421"/>
      <c r="D92" s="210"/>
      <c r="E92" s="419"/>
      <c r="F92" s="419"/>
      <c r="G92" s="95"/>
      <c r="H92" s="95"/>
      <c r="I92" s="418"/>
      <c r="J92" s="418"/>
      <c r="K92" s="418"/>
      <c r="L92" s="420">
        <f t="shared" si="13"/>
        <v>1680</v>
      </c>
      <c r="M92" s="420">
        <f>'4.1.Кап. інвестиції'!G17</f>
        <v>0</v>
      </c>
      <c r="N92" s="420">
        <f>'4.1.Кап. інвестиції'!H17</f>
        <v>0</v>
      </c>
      <c r="O92" s="420">
        <f>'4.1.Кап. інвестиції'!I17</f>
        <v>0</v>
      </c>
      <c r="P92" s="420">
        <f>'4.1.Кап. інвестиції'!J17</f>
        <v>1680</v>
      </c>
      <c r="Q92" s="420"/>
      <c r="R92" s="96"/>
      <c r="S92" s="96"/>
      <c r="T92" s="96"/>
      <c r="U92" s="96"/>
      <c r="V92" s="420"/>
      <c r="W92" s="96"/>
      <c r="X92" s="96"/>
      <c r="Y92" s="96"/>
      <c r="Z92" s="96"/>
      <c r="AA92" s="420">
        <f t="shared" si="7"/>
        <v>1680</v>
      </c>
      <c r="AB92" s="151">
        <f t="shared" si="8"/>
        <v>0</v>
      </c>
      <c r="AC92" s="151">
        <f t="shared" si="9"/>
        <v>0</v>
      </c>
      <c r="AD92" s="151">
        <f t="shared" si="10"/>
        <v>0</v>
      </c>
      <c r="AE92" s="151">
        <f t="shared" si="11"/>
        <v>1680</v>
      </c>
    </row>
    <row r="93" spans="1:35">
      <c r="A93" s="184" t="s">
        <v>40</v>
      </c>
      <c r="B93" s="742"/>
      <c r="C93" s="752"/>
      <c r="D93" s="210">
        <v>0</v>
      </c>
      <c r="E93" s="183">
        <f>SUM(E90:E90)</f>
        <v>0</v>
      </c>
      <c r="F93" s="183"/>
      <c r="G93" s="184"/>
      <c r="H93" s="184"/>
      <c r="I93" s="57"/>
      <c r="J93" s="57"/>
      <c r="K93" s="57"/>
      <c r="L93" s="123">
        <f>SUM(L86:L92)</f>
        <v>8733.9</v>
      </c>
      <c r="M93" s="123">
        <f t="shared" ref="M93:P93" si="14">SUM(M86:M92)</f>
        <v>0</v>
      </c>
      <c r="N93" s="123">
        <f t="shared" si="14"/>
        <v>4218.8999999999996</v>
      </c>
      <c r="O93" s="123">
        <f t="shared" si="14"/>
        <v>0</v>
      </c>
      <c r="P93" s="123">
        <f t="shared" si="14"/>
        <v>4515</v>
      </c>
      <c r="Q93" s="123">
        <v>0</v>
      </c>
      <c r="R93" s="123"/>
      <c r="S93" s="123"/>
      <c r="T93" s="123"/>
      <c r="U93" s="123"/>
      <c r="V93" s="123"/>
      <c r="W93" s="185"/>
      <c r="X93" s="185"/>
      <c r="Y93" s="185"/>
      <c r="Z93" s="185"/>
      <c r="AA93" s="123">
        <f>E93+L93+Q93+V93</f>
        <v>8733.9</v>
      </c>
      <c r="AB93" s="123">
        <f t="shared" ref="AB93" si="15">SUM(AB86:AB92)</f>
        <v>0</v>
      </c>
      <c r="AC93" s="123">
        <f t="shared" ref="AC93" si="16">SUM(AC86:AC92)</f>
        <v>4218.8999999999996</v>
      </c>
      <c r="AD93" s="123">
        <f t="shared" ref="AD93" si="17">SUM(AD86:AD92)</f>
        <v>0</v>
      </c>
      <c r="AE93" s="123">
        <f t="shared" ref="AE93" si="18">SUM(AE86:AE92)</f>
        <v>4515</v>
      </c>
    </row>
    <row r="94" spans="1:35" ht="21.75" customHeight="1">
      <c r="A94" s="8" t="s">
        <v>41</v>
      </c>
      <c r="B94" s="726"/>
      <c r="C94" s="745"/>
      <c r="D94" s="425"/>
      <c r="E94" s="8"/>
      <c r="F94" s="8"/>
      <c r="G94" s="8"/>
      <c r="H94" s="416">
        <f>H93/AA93*100</f>
        <v>0</v>
      </c>
      <c r="I94" s="59"/>
      <c r="J94" s="59"/>
      <c r="K94" s="59"/>
      <c r="L94" s="186">
        <v>100</v>
      </c>
      <c r="M94" s="59">
        <v>0</v>
      </c>
      <c r="N94" s="186"/>
      <c r="O94" s="186"/>
      <c r="P94" s="186"/>
      <c r="Q94" s="186">
        <v>0</v>
      </c>
      <c r="R94" s="186"/>
      <c r="S94" s="186"/>
      <c r="T94" s="186"/>
      <c r="U94" s="186"/>
      <c r="V94" s="186"/>
      <c r="W94" s="186" t="e">
        <f>W93/AJ93*100</f>
        <v>#DIV/0!</v>
      </c>
      <c r="X94" s="186" t="e">
        <f>X93/AK93*100</f>
        <v>#DIV/0!</v>
      </c>
      <c r="Y94" s="186"/>
      <c r="Z94" s="186"/>
      <c r="AA94" s="186">
        <v>100</v>
      </c>
      <c r="AB94" s="186"/>
      <c r="AC94" s="186"/>
      <c r="AD94" s="186"/>
      <c r="AE94" s="186"/>
    </row>
    <row r="95" spans="1:35">
      <c r="A95" s="14" t="s">
        <v>258</v>
      </c>
    </row>
    <row r="96" spans="1:35" ht="18.75" customHeight="1">
      <c r="A96" s="545" t="s">
        <v>35</v>
      </c>
      <c r="B96" s="746" t="s">
        <v>262</v>
      </c>
      <c r="C96" s="747"/>
      <c r="D96" s="424"/>
      <c r="E96" s="754" t="s">
        <v>263</v>
      </c>
      <c r="F96" s="423"/>
      <c r="G96" s="754" t="s">
        <v>264</v>
      </c>
      <c r="H96" s="754" t="s">
        <v>259</v>
      </c>
      <c r="I96" s="754" t="s">
        <v>260</v>
      </c>
      <c r="J96" s="548" t="s">
        <v>107</v>
      </c>
      <c r="K96" s="549"/>
      <c r="L96" s="549"/>
      <c r="M96" s="549"/>
      <c r="N96" s="549"/>
      <c r="O96" s="617"/>
      <c r="P96" s="746" t="s">
        <v>265</v>
      </c>
      <c r="Q96" s="784"/>
      <c r="R96" s="747"/>
      <c r="S96" s="606" t="s">
        <v>266</v>
      </c>
      <c r="T96" s="606"/>
      <c r="U96" s="606"/>
      <c r="V96" s="606"/>
      <c r="W96" s="606"/>
      <c r="X96" s="606"/>
      <c r="Y96" s="149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>
      <c r="A97" s="545"/>
      <c r="B97" s="748"/>
      <c r="C97" s="749"/>
      <c r="D97" s="196"/>
      <c r="E97" s="759"/>
      <c r="F97" s="138"/>
      <c r="G97" s="787"/>
      <c r="H97" s="787"/>
      <c r="I97" s="787"/>
      <c r="J97" s="754" t="s">
        <v>261</v>
      </c>
      <c r="K97" s="135"/>
      <c r="L97" s="754" t="s">
        <v>267</v>
      </c>
      <c r="M97" s="548" t="s">
        <v>270</v>
      </c>
      <c r="N97" s="731"/>
      <c r="O97" s="730"/>
      <c r="P97" s="756"/>
      <c r="Q97" s="785"/>
      <c r="R97" s="749"/>
      <c r="S97" s="606"/>
      <c r="T97" s="606"/>
      <c r="U97" s="606"/>
      <c r="V97" s="606"/>
      <c r="W97" s="606"/>
      <c r="X97" s="606"/>
      <c r="Y97" s="149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133.5" customHeight="1">
      <c r="A98" s="545"/>
      <c r="B98" s="750"/>
      <c r="C98" s="751"/>
      <c r="D98" s="197"/>
      <c r="E98" s="755"/>
      <c r="F98" s="136"/>
      <c r="G98" s="758"/>
      <c r="H98" s="758"/>
      <c r="I98" s="758"/>
      <c r="J98" s="758"/>
      <c r="K98" s="136"/>
      <c r="L98" s="758"/>
      <c r="M98" s="69" t="s">
        <v>268</v>
      </c>
      <c r="N98" s="7" t="s">
        <v>269</v>
      </c>
      <c r="O98" s="7" t="s">
        <v>366</v>
      </c>
      <c r="P98" s="757"/>
      <c r="Q98" s="786"/>
      <c r="R98" s="751"/>
      <c r="S98" s="606"/>
      <c r="T98" s="606"/>
      <c r="U98" s="606"/>
      <c r="V98" s="606"/>
      <c r="W98" s="606"/>
      <c r="X98" s="606"/>
      <c r="Y98" s="149"/>
      <c r="Z98" s="21"/>
      <c r="AA98" s="21"/>
      <c r="AB98" s="21"/>
      <c r="AC98" s="21"/>
      <c r="AD98" s="21"/>
      <c r="AE98" s="21"/>
      <c r="AF98" s="21" t="s">
        <v>365</v>
      </c>
      <c r="AG98" s="21"/>
      <c r="AH98" s="21"/>
      <c r="AI98" s="21"/>
    </row>
    <row r="99" spans="1:35" ht="26.25" customHeight="1">
      <c r="A99" s="6">
        <v>1</v>
      </c>
      <c r="B99" s="548">
        <v>2</v>
      </c>
      <c r="C99" s="730"/>
      <c r="D99" s="188"/>
      <c r="E99" s="7">
        <v>3</v>
      </c>
      <c r="F99" s="7"/>
      <c r="G99" s="7">
        <v>4</v>
      </c>
      <c r="H99" s="7">
        <v>5</v>
      </c>
      <c r="I99" s="7">
        <v>6</v>
      </c>
      <c r="J99" s="7">
        <v>7</v>
      </c>
      <c r="K99" s="7"/>
      <c r="L99" s="7">
        <v>8</v>
      </c>
      <c r="M99" s="7">
        <v>9</v>
      </c>
      <c r="N99" s="7">
        <v>10</v>
      </c>
      <c r="O99" s="7">
        <v>11</v>
      </c>
      <c r="P99" s="548">
        <v>12</v>
      </c>
      <c r="Q99" s="731"/>
      <c r="R99" s="730"/>
      <c r="S99" s="548">
        <v>13</v>
      </c>
      <c r="T99" s="549"/>
      <c r="U99" s="740"/>
      <c r="V99" s="740"/>
      <c r="W99" s="740"/>
      <c r="X99" s="741"/>
      <c r="Y99" s="149"/>
      <c r="Z99" s="21"/>
      <c r="AA99" s="21"/>
      <c r="AB99" s="21"/>
      <c r="AC99" s="21"/>
      <c r="AD99" s="21" t="s">
        <v>374</v>
      </c>
      <c r="AE99" s="21"/>
      <c r="AF99" s="21"/>
      <c r="AG99" s="21"/>
      <c r="AH99" s="21"/>
      <c r="AI99" s="21"/>
    </row>
    <row r="100" spans="1:35" ht="18.75" customHeight="1">
      <c r="A100" s="70" t="s">
        <v>40</v>
      </c>
      <c r="B100" s="742"/>
      <c r="C100" s="743"/>
      <c r="D100" s="189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729"/>
      <c r="Q100" s="731"/>
      <c r="R100" s="730"/>
      <c r="S100" s="729"/>
      <c r="T100" s="744"/>
      <c r="U100" s="731"/>
      <c r="V100" s="731"/>
      <c r="W100" s="731"/>
      <c r="X100" s="730"/>
      <c r="Y100" s="150"/>
      <c r="Z100" s="99"/>
      <c r="AA100" s="99"/>
      <c r="AB100" s="99"/>
      <c r="AC100" s="99"/>
      <c r="AD100" s="100"/>
      <c r="AE100" s="100"/>
      <c r="AF100" s="100"/>
      <c r="AG100" s="100"/>
      <c r="AH100" s="100"/>
      <c r="AI100" s="100"/>
    </row>
    <row r="101" spans="1:35" ht="18.75" customHeight="1">
      <c r="A101" s="181"/>
      <c r="B101" s="181"/>
      <c r="C101" s="182"/>
      <c r="D101" s="18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173"/>
      <c r="R101" s="173"/>
      <c r="S101" s="71"/>
      <c r="T101" s="71"/>
      <c r="U101" s="173"/>
      <c r="V101" s="173"/>
      <c r="W101" s="173"/>
      <c r="X101" s="173"/>
      <c r="Y101" s="99"/>
      <c r="Z101" s="99"/>
      <c r="AA101" s="99"/>
      <c r="AB101" s="99"/>
      <c r="AC101" s="99"/>
      <c r="AD101" s="100"/>
      <c r="AE101" s="100"/>
      <c r="AF101" s="100"/>
      <c r="AG101" s="100"/>
      <c r="AH101" s="100"/>
      <c r="AI101" s="100"/>
    </row>
    <row r="102" spans="1:35" ht="34.5" customHeight="1">
      <c r="A102" s="41" t="s">
        <v>181</v>
      </c>
      <c r="B102" s="1"/>
      <c r="C102" s="1"/>
      <c r="D102" s="1"/>
      <c r="E102" s="632" t="s">
        <v>331</v>
      </c>
      <c r="F102" s="632"/>
      <c r="G102" s="782"/>
      <c r="H102" s="12"/>
      <c r="I102" s="783" t="s">
        <v>330</v>
      </c>
      <c r="J102" s="783"/>
      <c r="K102" s="783"/>
      <c r="L102" s="783"/>
    </row>
    <row r="103" spans="1:35">
      <c r="A103" s="50" t="s">
        <v>61</v>
      </c>
      <c r="B103" s="131"/>
      <c r="C103" s="131"/>
      <c r="D103" s="131"/>
      <c r="E103" s="566" t="s">
        <v>62</v>
      </c>
      <c r="F103" s="566"/>
      <c r="G103" s="566"/>
      <c r="H103" s="133"/>
      <c r="I103" s="593" t="s">
        <v>81</v>
      </c>
      <c r="J103" s="593"/>
      <c r="K103" s="593"/>
      <c r="L103" s="593"/>
    </row>
  </sheetData>
  <mergeCells count="158">
    <mergeCell ref="A5:J5"/>
    <mergeCell ref="A7:J7"/>
    <mergeCell ref="A6:J6"/>
    <mergeCell ref="I20:J20"/>
    <mergeCell ref="I14:J14"/>
    <mergeCell ref="I27:J27"/>
    <mergeCell ref="I17:J17"/>
    <mergeCell ref="I26:J26"/>
    <mergeCell ref="I12:J12"/>
    <mergeCell ref="I13:J13"/>
    <mergeCell ref="I18:J18"/>
    <mergeCell ref="I19:J19"/>
    <mergeCell ref="I21:J21"/>
    <mergeCell ref="G14:H14"/>
    <mergeCell ref="I15:J15"/>
    <mergeCell ref="I23:J23"/>
    <mergeCell ref="I25:J25"/>
    <mergeCell ref="G22:H22"/>
    <mergeCell ref="G23:H23"/>
    <mergeCell ref="I24:J24"/>
    <mergeCell ref="E102:G102"/>
    <mergeCell ref="I102:L102"/>
    <mergeCell ref="E103:G103"/>
    <mergeCell ref="I103:L103"/>
    <mergeCell ref="L83:L84"/>
    <mergeCell ref="L82:P82"/>
    <mergeCell ref="M97:O97"/>
    <mergeCell ref="P96:R98"/>
    <mergeCell ref="L97:L98"/>
    <mergeCell ref="P99:R99"/>
    <mergeCell ref="Q83:Q84"/>
    <mergeCell ref="E82:J82"/>
    <mergeCell ref="J97:J98"/>
    <mergeCell ref="P100:R100"/>
    <mergeCell ref="E96:E98"/>
    <mergeCell ref="G96:G98"/>
    <mergeCell ref="H96:H98"/>
    <mergeCell ref="I96:I98"/>
    <mergeCell ref="I71:N71"/>
    <mergeCell ref="J48:M48"/>
    <mergeCell ref="J49:M49"/>
    <mergeCell ref="J50:M50"/>
    <mergeCell ref="I34:J34"/>
    <mergeCell ref="J51:M51"/>
    <mergeCell ref="I28:J28"/>
    <mergeCell ref="I30:J30"/>
    <mergeCell ref="J57:M57"/>
    <mergeCell ref="H57:I57"/>
    <mergeCell ref="G32:H32"/>
    <mergeCell ref="G33:H33"/>
    <mergeCell ref="I29:J29"/>
    <mergeCell ref="I32:J32"/>
    <mergeCell ref="I36:J36"/>
    <mergeCell ref="I35:J35"/>
    <mergeCell ref="I31:J31"/>
    <mergeCell ref="I33:J33"/>
    <mergeCell ref="H58:I58"/>
    <mergeCell ref="J58:M58"/>
    <mergeCell ref="E58:G58"/>
    <mergeCell ref="G35:H35"/>
    <mergeCell ref="L40:M40"/>
    <mergeCell ref="B65:C65"/>
    <mergeCell ref="B59:C59"/>
    <mergeCell ref="B60:C60"/>
    <mergeCell ref="B66:C66"/>
    <mergeCell ref="B61:C61"/>
    <mergeCell ref="B63:C63"/>
    <mergeCell ref="B50:C50"/>
    <mergeCell ref="B62:C62"/>
    <mergeCell ref="B52:C52"/>
    <mergeCell ref="B53:C53"/>
    <mergeCell ref="AB83:AE83"/>
    <mergeCell ref="H71:H72"/>
    <mergeCell ref="AA83:AA84"/>
    <mergeCell ref="R83:U83"/>
    <mergeCell ref="V83:V84"/>
    <mergeCell ref="W83:Z83"/>
    <mergeCell ref="I76:N76"/>
    <mergeCell ref="I77:I78"/>
    <mergeCell ref="M83:P83"/>
    <mergeCell ref="V82:Z82"/>
    <mergeCell ref="A81:H81"/>
    <mergeCell ref="B73:C73"/>
    <mergeCell ref="G71:G72"/>
    <mergeCell ref="H76:H78"/>
    <mergeCell ref="F71:F72"/>
    <mergeCell ref="B76:C78"/>
    <mergeCell ref="B71:C72"/>
    <mergeCell ref="B80:C80"/>
    <mergeCell ref="A76:A78"/>
    <mergeCell ref="E76:E78"/>
    <mergeCell ref="G76:G78"/>
    <mergeCell ref="F76:F78"/>
    <mergeCell ref="Y81:AE81"/>
    <mergeCell ref="AA82:AE82"/>
    <mergeCell ref="S96:X98"/>
    <mergeCell ref="S99:X99"/>
    <mergeCell ref="B100:C100"/>
    <mergeCell ref="B99:C99"/>
    <mergeCell ref="S100:X100"/>
    <mergeCell ref="J96:O96"/>
    <mergeCell ref="A96:A98"/>
    <mergeCell ref="A82:A84"/>
    <mergeCell ref="B94:C94"/>
    <mergeCell ref="B96:C98"/>
    <mergeCell ref="B93:C93"/>
    <mergeCell ref="B85:C85"/>
    <mergeCell ref="B90:C90"/>
    <mergeCell ref="D83:D84"/>
    <mergeCell ref="B82:C84"/>
    <mergeCell ref="E83:K83"/>
    <mergeCell ref="B86:C86"/>
    <mergeCell ref="Q82:U82"/>
    <mergeCell ref="B2:I2"/>
    <mergeCell ref="B79:C79"/>
    <mergeCell ref="A75:J75"/>
    <mergeCell ref="B68:C68"/>
    <mergeCell ref="B64:C64"/>
    <mergeCell ref="A70:M70"/>
    <mergeCell ref="I40:K40"/>
    <mergeCell ref="B57:D57"/>
    <mergeCell ref="B51:C51"/>
    <mergeCell ref="B58:C58"/>
    <mergeCell ref="J52:M52"/>
    <mergeCell ref="J53:M53"/>
    <mergeCell ref="E57:G57"/>
    <mergeCell ref="B48:C48"/>
    <mergeCell ref="B49:C49"/>
    <mergeCell ref="E71:E72"/>
    <mergeCell ref="B67:C67"/>
    <mergeCell ref="I22:J22"/>
    <mergeCell ref="G12:H12"/>
    <mergeCell ref="G13:H13"/>
    <mergeCell ref="I16:J16"/>
    <mergeCell ref="J77:N77"/>
    <mergeCell ref="A4:J4"/>
    <mergeCell ref="A71:A72"/>
    <mergeCell ref="A40:A41"/>
    <mergeCell ref="G18:H18"/>
    <mergeCell ref="G27:H27"/>
    <mergeCell ref="G19:H19"/>
    <mergeCell ref="G20:H20"/>
    <mergeCell ref="G21:H21"/>
    <mergeCell ref="G25:H25"/>
    <mergeCell ref="G34:H34"/>
    <mergeCell ref="G15:H15"/>
    <mergeCell ref="G31:H31"/>
    <mergeCell ref="G30:H30"/>
    <mergeCell ref="G29:H29"/>
    <mergeCell ref="B40:C40"/>
    <mergeCell ref="G17:H17"/>
    <mergeCell ref="G16:H16"/>
    <mergeCell ref="G26:H26"/>
    <mergeCell ref="G24:H24"/>
    <mergeCell ref="D40:E40"/>
    <mergeCell ref="G28:H28"/>
    <mergeCell ref="G36:H36"/>
    <mergeCell ref="G40:H40"/>
  </mergeCells>
  <phoneticPr fontId="3" type="noConversion"/>
  <pageMargins left="0.11811023622047245" right="0.19685039370078741" top="0.19685039370078741" bottom="0" header="0.27559055118110237" footer="0.15748031496062992"/>
  <pageSetup paperSize="9" scale="50" fitToHeight="0" orientation="landscape" verticalDpi="1200" r:id="rId1"/>
  <headerFooter alignWithMargins="0">
    <oddHeader>&amp;C&amp;"Times New Roman,обычный"&amp;14 13&amp;R&amp;"Times New Roman,обычный"&amp;14Продовження додатка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topLeftCell="B25" workbookViewId="0">
      <selection activeCell="C15" sqref="C15:C19"/>
    </sheetView>
  </sheetViews>
  <sheetFormatPr defaultRowHeight="12.75"/>
  <cols>
    <col min="2" max="2" width="53" customWidth="1"/>
    <col min="3" max="3" width="11.85546875" customWidth="1"/>
  </cols>
  <sheetData>
    <row r="3" spans="1:4" ht="37.5">
      <c r="A3" s="540">
        <v>1000</v>
      </c>
      <c r="B3" s="541" t="s">
        <v>380</v>
      </c>
      <c r="C3" s="464">
        <f>'1.Фінансовий результат'!D7</f>
        <v>20170.5</v>
      </c>
      <c r="D3" s="544" t="s">
        <v>564</v>
      </c>
    </row>
    <row r="4" spans="1:4" ht="18.75">
      <c r="A4" s="542">
        <v>1010</v>
      </c>
      <c r="B4" s="266" t="s">
        <v>232</v>
      </c>
      <c r="C4" s="464">
        <f>'1.Фінансовий результат'!D8</f>
        <v>15249.5</v>
      </c>
      <c r="D4" s="543">
        <f>0.756*100</f>
        <v>75.599999999999994</v>
      </c>
    </row>
    <row r="5" spans="1:4" ht="18.75">
      <c r="A5" s="542">
        <v>1012</v>
      </c>
      <c r="B5" s="266" t="s">
        <v>234</v>
      </c>
      <c r="C5" s="464">
        <f>'1.Фінансовий результат'!D10</f>
        <v>4921</v>
      </c>
      <c r="D5" s="543">
        <f>0.244*100</f>
        <v>24.4</v>
      </c>
    </row>
    <row r="6" spans="1:4" ht="18.75">
      <c r="A6" s="542">
        <v>1020</v>
      </c>
      <c r="B6" s="219" t="s">
        <v>230</v>
      </c>
      <c r="C6" s="464">
        <f>'1.Фінансовий результат'!D11</f>
        <v>533.5</v>
      </c>
      <c r="D6" s="543">
        <f>C6/C3*100</f>
        <v>2.6449517860241443</v>
      </c>
    </row>
    <row r="7" spans="1:4" ht="37.5">
      <c r="A7" s="542">
        <v>1030</v>
      </c>
      <c r="B7" s="266" t="s">
        <v>231</v>
      </c>
      <c r="C7" s="464">
        <f>'1.Фінансовий результат'!D12</f>
        <v>0</v>
      </c>
      <c r="D7" s="543">
        <f t="shared" ref="D7:D9" si="0">C7/C4*100</f>
        <v>0</v>
      </c>
    </row>
    <row r="8" spans="1:4" ht="37.5">
      <c r="A8" s="279">
        <v>1040</v>
      </c>
      <c r="B8" s="541" t="s">
        <v>87</v>
      </c>
      <c r="C8" s="464">
        <f>'1.Фінансовий результат'!D13</f>
        <v>19637</v>
      </c>
      <c r="D8" s="543">
        <f t="shared" si="0"/>
        <v>399.04490957122533</v>
      </c>
    </row>
    <row r="9" spans="1:4" ht="37.5">
      <c r="A9" s="153">
        <v>1050</v>
      </c>
      <c r="B9" s="541" t="s">
        <v>132</v>
      </c>
      <c r="C9" s="464">
        <f>'1.Фінансовий результат'!D14</f>
        <v>16139</v>
      </c>
      <c r="D9" s="543">
        <f t="shared" si="0"/>
        <v>3025.1171508903467</v>
      </c>
    </row>
    <row r="10" spans="1:4" ht="18.75">
      <c r="A10" s="153">
        <v>1080</v>
      </c>
      <c r="B10" s="541" t="s">
        <v>111</v>
      </c>
      <c r="C10" s="467">
        <f>'1.Фінансовий результат'!D31</f>
        <v>2578.9670535999999</v>
      </c>
      <c r="D10" s="123">
        <f>D11+D15+D17+D18+D19+D20+D22+D32+D30</f>
        <v>0</v>
      </c>
    </row>
    <row r="11" spans="1:4" ht="18.75">
      <c r="A11" s="541">
        <f>'1.Фінансовий результат'!B62</f>
        <v>1110</v>
      </c>
      <c r="B11" s="541" t="s">
        <v>108</v>
      </c>
      <c r="C11" s="541">
        <f>'1.Фінансовий результат'!D62</f>
        <v>808.9</v>
      </c>
      <c r="D11" s="541"/>
    </row>
    <row r="12" spans="1:4" ht="18.75">
      <c r="A12" s="153">
        <f>'1.Фінансовий результат'!B79</f>
        <v>1120</v>
      </c>
      <c r="B12" s="541" t="s">
        <v>565</v>
      </c>
      <c r="C12" s="467">
        <f>'1.Фінансовий результат'!D79</f>
        <v>65</v>
      </c>
      <c r="D12" s="123"/>
    </row>
    <row r="13" spans="1:4" ht="18.75">
      <c r="A13" s="153">
        <v>1210</v>
      </c>
      <c r="B13" s="541" t="s">
        <v>566</v>
      </c>
      <c r="C13" s="467">
        <f>'1.Фінансовий результат'!D94</f>
        <v>8.123930352000027</v>
      </c>
      <c r="D13" s="123"/>
    </row>
    <row r="14" spans="1:4" ht="18.75">
      <c r="A14" s="153"/>
      <c r="B14" s="541"/>
      <c r="C14" s="467"/>
      <c r="D14" s="123"/>
    </row>
    <row r="15" spans="1:4" ht="18.75">
      <c r="A15" s="153"/>
      <c r="B15" s="541" t="s">
        <v>279</v>
      </c>
      <c r="C15" s="467">
        <f>'1.Фінансовий результат'!D101</f>
        <v>6519.3000000000011</v>
      </c>
      <c r="D15" s="123"/>
    </row>
    <row r="16" spans="1:4" ht="18.75">
      <c r="A16" s="153"/>
      <c r="B16" s="541" t="str">
        <f>'1.Фінансовий результат'!A104</f>
        <v>Витрати на оплату праці</v>
      </c>
      <c r="C16" s="467">
        <f>'1.Фінансовий результат'!D104</f>
        <v>9622.9598799999985</v>
      </c>
      <c r="D16" s="123"/>
    </row>
    <row r="17" spans="1:4" ht="18.75">
      <c r="A17" s="153"/>
      <c r="B17" s="541" t="str">
        <f>'1.Фінансовий результат'!A105</f>
        <v>Відрахування на соціальні заходи</v>
      </c>
      <c r="C17" s="467">
        <f>'1.Фінансовий результат'!D105</f>
        <v>2053.0071736</v>
      </c>
      <c r="D17" s="123"/>
    </row>
    <row r="18" spans="1:4" ht="18.75">
      <c r="B18" s="541" t="str">
        <f>'1.Фінансовий результат'!A106</f>
        <v>Амортизація</v>
      </c>
      <c r="C18" s="540">
        <f>'1.Фінансовий результат'!D106</f>
        <v>206.99999999999997</v>
      </c>
      <c r="D18" s="541"/>
    </row>
    <row r="19" spans="1:4" ht="18.75">
      <c r="B19" s="541" t="str">
        <f>'1.Фінансовий результат'!A107</f>
        <v>Інші операційні витрати</v>
      </c>
      <c r="C19" s="540">
        <f>'1.Фінансовий результат'!D107</f>
        <v>1189.6000000000001</v>
      </c>
      <c r="D19" s="541"/>
    </row>
    <row r="20" spans="1:4" ht="18.75">
      <c r="B20" s="541"/>
      <c r="C20" s="541"/>
      <c r="D20" s="541"/>
    </row>
    <row r="21" spans="1:4" ht="18.75">
      <c r="B21" s="541"/>
      <c r="C21" s="541"/>
      <c r="D21" s="541"/>
    </row>
    <row r="22" spans="1:4" ht="18.75">
      <c r="B22" s="541"/>
      <c r="C22" s="541"/>
      <c r="D22" s="541"/>
    </row>
    <row r="23" spans="1:4" ht="18.75">
      <c r="B23" s="541"/>
      <c r="C23" s="541"/>
      <c r="D23" s="541"/>
    </row>
    <row r="24" spans="1:4" ht="18.75">
      <c r="B24" s="541"/>
      <c r="C24" s="541"/>
      <c r="D24" s="541"/>
    </row>
    <row r="25" spans="1:4" ht="18.75">
      <c r="B25" s="541"/>
      <c r="C25" s="541"/>
      <c r="D25" s="541"/>
    </row>
    <row r="26" spans="1:4" ht="18.75">
      <c r="B26" s="541"/>
      <c r="C26" s="541"/>
      <c r="D26" s="541"/>
    </row>
    <row r="27" spans="1:4" ht="18.75">
      <c r="B27" s="541"/>
      <c r="C27" s="541"/>
      <c r="D27" s="54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1"/>
  <sheetViews>
    <sheetView view="pageBreakPreview" topLeftCell="A7" zoomScale="86" zoomScaleNormal="60" zoomScaleSheetLayoutView="86" workbookViewId="0">
      <selection activeCell="F9" sqref="F9"/>
    </sheetView>
  </sheetViews>
  <sheetFormatPr defaultRowHeight="18.75"/>
  <cols>
    <col min="1" max="1" width="45.42578125" style="3" customWidth="1"/>
    <col min="2" max="2" width="9.7109375" style="21" customWidth="1"/>
    <col min="3" max="3" width="12.28515625" style="21" customWidth="1"/>
    <col min="4" max="4" width="12" style="21" customWidth="1"/>
    <col min="5" max="5" width="14.42578125" style="21" customWidth="1"/>
    <col min="6" max="6" width="12.5703125" style="3" customWidth="1"/>
    <col min="7" max="7" width="11.85546875" style="3" customWidth="1"/>
    <col min="8" max="8" width="12.28515625" style="3" customWidth="1"/>
    <col min="9" max="9" width="12.7109375" style="3" customWidth="1"/>
    <col min="10" max="10" width="12.5703125" style="3" customWidth="1"/>
    <col min="11" max="11" width="10" style="3" customWidth="1"/>
    <col min="12" max="12" width="9.5703125" style="3" customWidth="1"/>
    <col min="13" max="14" width="9.140625" style="3"/>
    <col min="15" max="15" width="10.5703125" style="3" customWidth="1"/>
    <col min="16" max="16384" width="9.140625" style="3"/>
  </cols>
  <sheetData>
    <row r="1" spans="1:10">
      <c r="A1" s="564" t="s">
        <v>305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>
      <c r="A2" s="565" t="s">
        <v>304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0">
      <c r="A3" s="564" t="s">
        <v>389</v>
      </c>
      <c r="B3" s="564"/>
      <c r="C3" s="564"/>
      <c r="D3" s="564"/>
      <c r="E3" s="564"/>
      <c r="F3" s="564"/>
      <c r="G3" s="564"/>
      <c r="H3" s="564"/>
      <c r="I3" s="564"/>
      <c r="J3" s="564"/>
    </row>
    <row r="4" spans="1:10" ht="21.75" customHeight="1">
      <c r="A4" s="564" t="s">
        <v>159</v>
      </c>
      <c r="B4" s="564"/>
      <c r="C4" s="564"/>
      <c r="D4" s="564"/>
      <c r="E4" s="564"/>
      <c r="F4" s="564"/>
      <c r="G4" s="564"/>
      <c r="H4" s="564"/>
      <c r="I4" s="564"/>
      <c r="J4" s="564"/>
    </row>
    <row r="5" spans="1:10" ht="31.5" customHeight="1">
      <c r="A5" s="561" t="s">
        <v>186</v>
      </c>
      <c r="B5" s="567" t="s">
        <v>5</v>
      </c>
      <c r="C5" s="562" t="s">
        <v>384</v>
      </c>
      <c r="D5" s="562" t="s">
        <v>385</v>
      </c>
      <c r="E5" s="567" t="s">
        <v>383</v>
      </c>
      <c r="F5" s="567" t="s">
        <v>107</v>
      </c>
      <c r="G5" s="568" t="s">
        <v>271</v>
      </c>
      <c r="H5" s="568"/>
      <c r="I5" s="568"/>
      <c r="J5" s="568"/>
    </row>
    <row r="6" spans="1:10" ht="54.75" customHeight="1">
      <c r="A6" s="561"/>
      <c r="B6" s="567"/>
      <c r="C6" s="574"/>
      <c r="D6" s="563"/>
      <c r="E6" s="567" t="s">
        <v>376</v>
      </c>
      <c r="F6" s="567"/>
      <c r="G6" s="216" t="s">
        <v>144</v>
      </c>
      <c r="H6" s="216" t="s">
        <v>145</v>
      </c>
      <c r="I6" s="216" t="s">
        <v>146</v>
      </c>
      <c r="J6" s="216" t="s">
        <v>55</v>
      </c>
    </row>
    <row r="7" spans="1:10" ht="20.100000000000001" customHeight="1">
      <c r="A7" s="113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</row>
    <row r="8" spans="1:10" ht="24.95" customHeight="1">
      <c r="A8" s="568" t="s">
        <v>79</v>
      </c>
      <c r="B8" s="568"/>
      <c r="C8" s="568"/>
      <c r="D8" s="568"/>
      <c r="E8" s="568"/>
      <c r="F8" s="568"/>
      <c r="G8" s="568"/>
      <c r="H8" s="568"/>
      <c r="I8" s="568"/>
      <c r="J8" s="568"/>
    </row>
    <row r="9" spans="1:10" ht="30.75" customHeight="1">
      <c r="A9" s="158" t="s">
        <v>160</v>
      </c>
      <c r="B9" s="113">
        <f>'1.1.Фінансовий результат'!B13</f>
        <v>1040</v>
      </c>
      <c r="C9" s="82">
        <f>'1.1.Фінансовий результат'!C13</f>
        <v>12014</v>
      </c>
      <c r="D9" s="82">
        <f>'1.1.Фінансовий результат'!D13</f>
        <v>12962.1</v>
      </c>
      <c r="E9" s="82">
        <f>'1.1.Фінансовий результат'!E13</f>
        <v>13410.4</v>
      </c>
      <c r="F9" s="82">
        <f>'1.1.Фінансовий результат'!F13</f>
        <v>18975.39</v>
      </c>
      <c r="G9" s="82">
        <f>'1.1.Фінансовий результат'!G13</f>
        <v>4057</v>
      </c>
      <c r="H9" s="82">
        <f>'1.1.Фінансовий результат'!H13</f>
        <v>4648.3999999999996</v>
      </c>
      <c r="I9" s="82">
        <f>'1.1.Фінансовий результат'!I13</f>
        <v>4932.3999999999996</v>
      </c>
      <c r="J9" s="82">
        <f>'1.1.Фінансовий результат'!J13</f>
        <v>5337.59</v>
      </c>
    </row>
    <row r="10" spans="1:10" ht="37.5" customHeight="1">
      <c r="A10" s="158" t="s">
        <v>132</v>
      </c>
      <c r="B10" s="113">
        <f>'1.1.Фінансовий результат'!B14</f>
        <v>1050</v>
      </c>
      <c r="C10" s="82">
        <f>'1.1.Фінансовий результат'!C14</f>
        <v>9815</v>
      </c>
      <c r="D10" s="82">
        <f>'1.1.Фінансовий результат'!D14</f>
        <v>10124.1</v>
      </c>
      <c r="E10" s="82">
        <f>'1.1.Фінансовий результат'!E14</f>
        <v>10537.518</v>
      </c>
      <c r="F10" s="82">
        <f>'1.1.Фінансовий результат'!F14</f>
        <v>15279.897999999999</v>
      </c>
      <c r="G10" s="82">
        <f>'1.1.Фінансовий результат'!G14</f>
        <v>3201.9999999999995</v>
      </c>
      <c r="H10" s="82">
        <f>'1.1.Фінансовий результат'!H14</f>
        <v>3858.3</v>
      </c>
      <c r="I10" s="82">
        <f>'1.1.Фінансовий результат'!I14</f>
        <v>3918.33</v>
      </c>
      <c r="J10" s="82">
        <f>'1.1.Фінансовий результат'!J14</f>
        <v>4301.268</v>
      </c>
    </row>
    <row r="11" spans="1:10" ht="32.25" customHeight="1">
      <c r="A11" s="158" t="s">
        <v>201</v>
      </c>
      <c r="B11" s="122">
        <f>'1.1.Фінансовий результат'!B29</f>
        <v>1060</v>
      </c>
      <c r="C11" s="82">
        <f>'1.1.Фінансовий результат'!C29</f>
        <v>2199</v>
      </c>
      <c r="D11" s="82">
        <f>'1.1.Фінансовий результат'!D29</f>
        <v>2838</v>
      </c>
      <c r="E11" s="82">
        <f>'1.1.Фінансовий результат'!E29</f>
        <v>2872.8819999999996</v>
      </c>
      <c r="F11" s="82">
        <f>'1.1.Фінансовий результат'!F29</f>
        <v>3695.4920000000002</v>
      </c>
      <c r="G11" s="82">
        <f>'1.1.Фінансовий результат'!G29</f>
        <v>855.00000000000045</v>
      </c>
      <c r="H11" s="82">
        <f>'1.1.Фінансовий результат'!H29</f>
        <v>790.09999999999945</v>
      </c>
      <c r="I11" s="82">
        <f>'1.1.Фінансовий результат'!I29</f>
        <v>1014.0699999999997</v>
      </c>
      <c r="J11" s="82">
        <f>'1.1.Фінансовий результат'!J29</f>
        <v>1036.3220000000001</v>
      </c>
    </row>
    <row r="12" spans="1:10" ht="20.100000000000001" customHeight="1">
      <c r="A12" s="158" t="s">
        <v>245</v>
      </c>
      <c r="B12" s="113">
        <f>'1.1.Фінансовий результат'!B30</f>
        <v>1070</v>
      </c>
      <c r="C12" s="94">
        <f>'1.1.Фінансовий результат'!C30</f>
        <v>0</v>
      </c>
      <c r="D12" s="94">
        <f>'1.1.Фінансовий результат'!D30</f>
        <v>0</v>
      </c>
      <c r="E12" s="94">
        <v>0</v>
      </c>
      <c r="F12" s="94">
        <f>'1.1.Фінансовий результат'!F30</f>
        <v>0</v>
      </c>
      <c r="G12" s="94">
        <f>'1.1.Фінансовий результат'!G30</f>
        <v>0</v>
      </c>
      <c r="H12" s="94">
        <f>'1.1.Фінансовий результат'!H30</f>
        <v>0</v>
      </c>
      <c r="I12" s="94">
        <f>'1.1.Фінансовий результат'!I30</f>
        <v>0</v>
      </c>
      <c r="J12" s="94">
        <f>'1.1.Фінансовий результат'!J30</f>
        <v>0</v>
      </c>
    </row>
    <row r="13" spans="1:10" ht="20.100000000000001" customHeight="1">
      <c r="A13" s="158" t="s">
        <v>111</v>
      </c>
      <c r="B13" s="113">
        <f>'1.1.Фінансовий результат'!B31</f>
        <v>1080</v>
      </c>
      <c r="C13" s="123">
        <f>'1.1.Фінансовий результат'!C31</f>
        <v>1491.4</v>
      </c>
      <c r="D13" s="123">
        <f>'1.1.Фінансовий результат'!D31</f>
        <v>1965.0000000000002</v>
      </c>
      <c r="E13" s="123">
        <f>'1.1.Фінансовий результат'!E31</f>
        <v>1976.6220000000001</v>
      </c>
      <c r="F13" s="123">
        <f>'1.1.Фінансовий результат'!F31</f>
        <v>2769.8324799999996</v>
      </c>
      <c r="G13" s="123">
        <f>'1.1.Фінансовий результат'!G31</f>
        <v>613.5</v>
      </c>
      <c r="H13" s="123">
        <f>'1.1.Фінансовий результат'!H31</f>
        <v>569.80000000000007</v>
      </c>
      <c r="I13" s="123">
        <f>'1.1.Фінансовий результат'!I31</f>
        <v>783.3</v>
      </c>
      <c r="J13" s="123">
        <f>'1.1.Фінансовий результат'!J31</f>
        <v>803.2132499999999</v>
      </c>
    </row>
    <row r="14" spans="1:10" ht="20.100000000000001" customHeight="1">
      <c r="A14" s="158" t="s">
        <v>108</v>
      </c>
      <c r="B14" s="113">
        <f>'1.1.Фінансовий результат'!B62</f>
        <v>1110</v>
      </c>
      <c r="C14" s="123">
        <f>'1.1.Фінансовий результат'!C62</f>
        <v>553.79999999999995</v>
      </c>
      <c r="D14" s="123">
        <f>'1.1.Фінансовий результат'!D62</f>
        <v>722.90000000000009</v>
      </c>
      <c r="E14" s="123">
        <f>'1.1.Фінансовий результат'!E62</f>
        <v>737.04000000000008</v>
      </c>
      <c r="F14" s="123">
        <f>'1.1.Фінансовий результат'!F62</f>
        <v>823.35</v>
      </c>
      <c r="G14" s="123">
        <f>'1.1.Фінансовий результат'!G62</f>
        <v>209.39999999999998</v>
      </c>
      <c r="H14" s="123">
        <f>'1.1.Фінансовий результат'!H62</f>
        <v>194.7</v>
      </c>
      <c r="I14" s="123">
        <f>'1.1.Фінансовий результат'!I62</f>
        <v>208.00000000000003</v>
      </c>
      <c r="J14" s="123">
        <f>'1.1.Фінансовий результат'!J62</f>
        <v>211.3</v>
      </c>
    </row>
    <row r="15" spans="1:10" ht="20.100000000000001" customHeight="1">
      <c r="A15" s="158" t="s">
        <v>12</v>
      </c>
      <c r="B15" s="113">
        <f>'1.1.Фінансовий результат'!B79</f>
        <v>1120</v>
      </c>
      <c r="C15" s="123">
        <f>'1.1.Фінансовий результат'!C79</f>
        <v>121.2</v>
      </c>
      <c r="D15" s="123">
        <f>'1.1.Фінансовий результат'!D79</f>
        <v>122.2</v>
      </c>
      <c r="E15" s="123">
        <f>'1.1.Фінансовий результат'!E79</f>
        <v>121.2</v>
      </c>
      <c r="F15" s="123">
        <f>'1.1.Фінансовий результат'!F79</f>
        <v>65.440000000000012</v>
      </c>
      <c r="G15" s="123">
        <f>'1.1.Фінансовий результат'!G79</f>
        <v>16.3</v>
      </c>
      <c r="H15" s="123">
        <f>'1.1.Фінансовий результат'!H79</f>
        <v>16.440000000000001</v>
      </c>
      <c r="I15" s="123">
        <f>'1.1.Фінансовий результат'!I79</f>
        <v>16.3</v>
      </c>
      <c r="J15" s="123">
        <f>'1.1.Фінансовий результат'!J79</f>
        <v>16.400000000000002</v>
      </c>
    </row>
    <row r="16" spans="1:10" ht="38.25" customHeight="1">
      <c r="A16" s="213" t="s">
        <v>248</v>
      </c>
      <c r="B16" s="159">
        <f>'1.1.Фінансовий результат'!B90</f>
        <v>1130</v>
      </c>
      <c r="C16" s="211">
        <f>'1.1.Фінансовий результат'!C90</f>
        <v>32.599999999999952</v>
      </c>
      <c r="D16" s="211">
        <f>'1.1.Фінансовий результат'!D90</f>
        <v>27.899999999999679</v>
      </c>
      <c r="E16" s="211">
        <f>'1.1.Фінансовий результат'!E90</f>
        <v>38.1</v>
      </c>
      <c r="F16" s="211">
        <f>'1.1.Фінансовий результат'!F90</f>
        <v>36.869520000000577</v>
      </c>
      <c r="G16" s="211">
        <f>'1.1.Фінансовий результат'!G90</f>
        <v>15.800000000000477</v>
      </c>
      <c r="H16" s="211">
        <f>'1.1.Фінансовий результат'!H90</f>
        <v>9.1599999999993962</v>
      </c>
      <c r="I16" s="211">
        <f>'1.1.Фінансовий результат'!I90</f>
        <v>6.4699999999997253</v>
      </c>
      <c r="J16" s="211">
        <f>'1.1.Фінансовий результат'!J90</f>
        <v>5.4087500000002002</v>
      </c>
    </row>
    <row r="17" spans="1:10" ht="20.100000000000001" customHeight="1">
      <c r="A17" s="160" t="s">
        <v>256</v>
      </c>
      <c r="B17" s="113">
        <f>'1.1.Фінансовий результат'!B91</f>
        <v>1140</v>
      </c>
      <c r="C17" s="94">
        <f>'1.1.Фінансовий результат'!C91</f>
        <v>0</v>
      </c>
      <c r="D17" s="94">
        <f>'1.1.Фінансовий результат'!D91</f>
        <v>0</v>
      </c>
      <c r="E17" s="94">
        <v>0</v>
      </c>
      <c r="F17" s="94">
        <f>'1.1.Фінансовий результат'!F91</f>
        <v>0</v>
      </c>
      <c r="G17" s="94">
        <f>'1.1.Фінансовий результат'!G91</f>
        <v>0</v>
      </c>
      <c r="H17" s="94">
        <f>'1.1.Фінансовий результат'!H91</f>
        <v>0</v>
      </c>
      <c r="I17" s="94">
        <f>'1.1.Фінансовий результат'!I91</f>
        <v>0</v>
      </c>
      <c r="J17" s="94">
        <f>'1.1.Фінансовий результат'!J91</f>
        <v>0</v>
      </c>
    </row>
    <row r="18" spans="1:10" ht="20.100000000000001" customHeight="1">
      <c r="A18" s="160" t="s">
        <v>257</v>
      </c>
      <c r="B18" s="113">
        <f>'1.1.Фінансовий результат'!B92</f>
        <v>1150</v>
      </c>
      <c r="C18" s="94">
        <f>'1.1.Фінансовий результат'!C92</f>
        <v>0</v>
      </c>
      <c r="D18" s="94">
        <f>'1.1.Фінансовий результат'!D92</f>
        <v>0</v>
      </c>
      <c r="E18" s="94">
        <v>0</v>
      </c>
      <c r="F18" s="94">
        <f>'1.1.Фінансовий результат'!F92</f>
        <v>0</v>
      </c>
      <c r="G18" s="94">
        <f>'1.1.Фінансовий результат'!G92</f>
        <v>0</v>
      </c>
      <c r="H18" s="94">
        <f>'1.1.Фінансовий результат'!H92</f>
        <v>0</v>
      </c>
      <c r="I18" s="94">
        <f>'1.1.Фінансовий результат'!I92</f>
        <v>0</v>
      </c>
      <c r="J18" s="94">
        <f>'1.1.Фінансовий результат'!J92</f>
        <v>0</v>
      </c>
    </row>
    <row r="19" spans="1:10" ht="20.100000000000001" customHeight="1">
      <c r="A19" s="158" t="s">
        <v>246</v>
      </c>
      <c r="B19" s="113">
        <f>'1.1.Фінансовий результат'!B93</f>
        <v>1160</v>
      </c>
      <c r="C19" s="94">
        <f>'1.1.Фінансовий результат'!C93</f>
        <v>0</v>
      </c>
      <c r="D19" s="94">
        <f>'1.1.Фінансовий результат'!D93</f>
        <v>0</v>
      </c>
      <c r="E19" s="94">
        <v>0</v>
      </c>
      <c r="F19" s="94">
        <f>'1.1.Фінансовий результат'!F93</f>
        <v>0</v>
      </c>
      <c r="G19" s="94">
        <f>'1.1.Фінансовий результат'!G93</f>
        <v>0</v>
      </c>
      <c r="H19" s="94">
        <f>'1.1.Фінансовий результат'!H93</f>
        <v>0</v>
      </c>
      <c r="I19" s="94">
        <f>'1.1.Фінансовий результат'!I93</f>
        <v>0</v>
      </c>
      <c r="J19" s="94">
        <f>'1.1.Фінансовий результат'!J93</f>
        <v>0</v>
      </c>
    </row>
    <row r="20" spans="1:10" ht="20.100000000000001" customHeight="1">
      <c r="A20" s="158" t="s">
        <v>247</v>
      </c>
      <c r="B20" s="113">
        <f>'1.1.Фінансовий результат'!B94</f>
        <v>1170</v>
      </c>
      <c r="C20" s="94">
        <f>'1.1.Фінансовий результат'!C94</f>
        <v>0</v>
      </c>
      <c r="D20" s="94">
        <f>'1.1.Фінансовий результат'!D94</f>
        <v>0</v>
      </c>
      <c r="E20" s="94">
        <v>0</v>
      </c>
      <c r="F20" s="94">
        <f>'1.1.Фінансовий результат'!F94</f>
        <v>0</v>
      </c>
      <c r="G20" s="94">
        <f>'1.1.Фінансовий результат'!G94</f>
        <v>0</v>
      </c>
      <c r="H20" s="94">
        <f>'1.1.Фінансовий результат'!H94</f>
        <v>0</v>
      </c>
      <c r="I20" s="94">
        <f>'1.1.Фінансовий результат'!I94</f>
        <v>0</v>
      </c>
      <c r="J20" s="94">
        <f>'1.1.Фінансовий результат'!J94</f>
        <v>0</v>
      </c>
    </row>
    <row r="21" spans="1:10" ht="43.5" customHeight="1">
      <c r="A21" s="214" t="s">
        <v>250</v>
      </c>
      <c r="B21" s="122">
        <f>'1.1.Фінансовий результат'!B95</f>
        <v>1200</v>
      </c>
      <c r="C21" s="82">
        <f>'1.1.Фінансовий результат'!C95</f>
        <v>32.599999999999952</v>
      </c>
      <c r="D21" s="82">
        <f>'1.1.Фінансовий результат'!D95</f>
        <v>27.899999999999679</v>
      </c>
      <c r="E21" s="82">
        <f>'1.1.Фінансовий результат'!E95</f>
        <v>38.1</v>
      </c>
      <c r="F21" s="82">
        <f>'1.1.Фінансовий результат'!F95</f>
        <v>36.9387499999998</v>
      </c>
      <c r="G21" s="82">
        <f>'1.1.Фінансовий результат'!G95</f>
        <v>15.800000000000477</v>
      </c>
      <c r="H21" s="82">
        <f>'1.1.Фінансовий результат'!H95</f>
        <v>9.1599999999993962</v>
      </c>
      <c r="I21" s="82">
        <f>'1.1.Фінансовий результат'!I95</f>
        <v>6.4699999999997253</v>
      </c>
      <c r="J21" s="82">
        <f>'1.1.Фінансовий результат'!J95</f>
        <v>5.4087500000002002</v>
      </c>
    </row>
    <row r="22" spans="1:10" ht="20.100000000000001" customHeight="1">
      <c r="A22" s="212" t="s">
        <v>109</v>
      </c>
      <c r="B22" s="113">
        <f>'1.1.Фінансовий результат'!B96</f>
        <v>1210</v>
      </c>
      <c r="C22" s="123">
        <f>'1.1.Фінансовий результат'!C96</f>
        <v>5.9</v>
      </c>
      <c r="D22" s="123">
        <f>'1.1.Фінансовий результат'!D96</f>
        <v>5</v>
      </c>
      <c r="E22" s="123">
        <f>'1.1.Фінансовий результат'!E96</f>
        <v>6.8579999999999997</v>
      </c>
      <c r="F22" s="123">
        <f>'1.1.Фінансовий результат'!F96</f>
        <v>7.1821750000000719</v>
      </c>
      <c r="G22" s="123">
        <f>'1.1.Фінансовий результат'!G96</f>
        <v>2.8440000000000856</v>
      </c>
      <c r="H22" s="123">
        <f>'1.1.Фінансовий результат'!H96</f>
        <v>2.2000000000000002</v>
      </c>
      <c r="I22" s="123">
        <f>'1.1.Фінансовий результат'!I96</f>
        <v>1.1645999999999506</v>
      </c>
      <c r="J22" s="123">
        <f>'1.1.Фінансовий результат'!J96</f>
        <v>0.97357500000003605</v>
      </c>
    </row>
    <row r="23" spans="1:10" ht="39" customHeight="1">
      <c r="A23" s="213" t="s">
        <v>251</v>
      </c>
      <c r="B23" s="159">
        <f>'1.1.Фінансовий результат'!B98</f>
        <v>1230</v>
      </c>
      <c r="C23" s="211">
        <f>'1.1.Фінансовий результат'!C98</f>
        <v>26.699999999999953</v>
      </c>
      <c r="D23" s="211">
        <f>'1.1.Фінансовий результат'!D98</f>
        <v>22.899999999999679</v>
      </c>
      <c r="E23" s="211">
        <f>'1.1.Фінансовий результат'!E98</f>
        <v>31.242000000000001</v>
      </c>
      <c r="F23" s="211">
        <f>'1.1.Фінансовий результат'!F98</f>
        <v>29.656574999999727</v>
      </c>
      <c r="G23" s="211">
        <f>'1.1.Фінансовий результат'!G98</f>
        <v>12.95600000000039</v>
      </c>
      <c r="H23" s="211">
        <f>'1.1.Фінансовий результат'!H98</f>
        <v>6.959999999999396</v>
      </c>
      <c r="I23" s="211">
        <f>'1.1.Фінансовий результат'!I98</f>
        <v>5.305399999999775</v>
      </c>
      <c r="J23" s="211">
        <f>'1.1.Фінансовий результат'!J98</f>
        <v>4.4351750000001644</v>
      </c>
    </row>
    <row r="24" spans="1:10" ht="24.95" customHeight="1">
      <c r="A24" s="561" t="s">
        <v>119</v>
      </c>
      <c r="B24" s="561"/>
      <c r="C24" s="561"/>
      <c r="D24" s="561"/>
      <c r="E24" s="561"/>
      <c r="F24" s="561"/>
      <c r="G24" s="561"/>
      <c r="H24" s="561"/>
      <c r="I24" s="561"/>
      <c r="J24" s="561"/>
    </row>
    <row r="25" spans="1:10" ht="30.75" customHeight="1">
      <c r="A25" s="161" t="s">
        <v>187</v>
      </c>
      <c r="B25" s="113">
        <f>'2.1Розрахунки з бюджетом'!B18</f>
        <v>2100</v>
      </c>
      <c r="C25" s="82">
        <f>'2.1Розрахунки з бюджетом'!C18</f>
        <v>4</v>
      </c>
      <c r="D25" s="82">
        <f>'2.1Розрахунки з бюджетом'!D18</f>
        <v>3.4</v>
      </c>
      <c r="E25" s="82">
        <f>'2.1Розрахунки з бюджетом'!E18</f>
        <v>4.6863000000000001</v>
      </c>
      <c r="F25" s="82">
        <f>'2.1Розрахунки з бюджетом'!F18</f>
        <v>5.3</v>
      </c>
      <c r="G25" s="82">
        <f>'2.1Розрахунки з бюджетом'!G18</f>
        <v>1.9999999999999998</v>
      </c>
      <c r="H25" s="82">
        <f>'2.1Розрахунки з бюджетом'!H18</f>
        <v>1.1000000000000001</v>
      </c>
      <c r="I25" s="82">
        <f>'2.1Розрахунки з бюджетом'!I18</f>
        <v>1.2</v>
      </c>
      <c r="J25" s="82">
        <f>'2.1Розрахунки з бюджетом'!J18</f>
        <v>1</v>
      </c>
    </row>
    <row r="26" spans="1:10" ht="20.100000000000001" customHeight="1">
      <c r="A26" s="109" t="s">
        <v>118</v>
      </c>
      <c r="B26" s="113">
        <f>'2.1Розрахунки з бюджетом'!B19</f>
        <v>2110</v>
      </c>
      <c r="C26" s="82">
        <f>'2.1Розрахунки з бюджетом'!C19</f>
        <v>6</v>
      </c>
      <c r="D26" s="82">
        <f>'2.1Розрахунки з бюджетом'!D19</f>
        <v>5</v>
      </c>
      <c r="E26" s="82">
        <f>'2.1Розрахунки з бюджетом'!E19</f>
        <v>6.8579999999999997</v>
      </c>
      <c r="F26" s="82">
        <f>'2.1Розрахунки з бюджетом'!F19</f>
        <v>7.1821750000000719</v>
      </c>
      <c r="G26" s="82">
        <f>'2.1Розрахунки з бюджетом'!G19</f>
        <v>2.8440000000000856</v>
      </c>
      <c r="H26" s="82">
        <f>'2.1Розрахунки з бюджетом'!H19</f>
        <v>2.2000000000000002</v>
      </c>
      <c r="I26" s="82">
        <f>'2.1Розрахунки з бюджетом'!I19</f>
        <v>1.1645999999999506</v>
      </c>
      <c r="J26" s="82">
        <f>'2.1Розрахунки з бюджетом'!J19</f>
        <v>0.97357500000003605</v>
      </c>
    </row>
    <row r="27" spans="1:10" ht="47.25" customHeight="1">
      <c r="A27" s="109" t="s">
        <v>223</v>
      </c>
      <c r="B27" s="113">
        <f>'2.1Розрахунки з бюджетом'!B20</f>
        <v>2120</v>
      </c>
      <c r="C27" s="82">
        <f>'2.1Розрахунки з бюджетом'!C20</f>
        <v>59.7</v>
      </c>
      <c r="D27" s="82">
        <f>'2.1Розрахунки з бюджетом'!D20</f>
        <v>80.400000000000006</v>
      </c>
      <c r="E27" s="82">
        <f>'2.1Розрахунки з бюджетом'!E20</f>
        <v>81.215999999999994</v>
      </c>
      <c r="F27" s="82">
        <f>'2.1Розрахунки з бюджетом'!F20</f>
        <v>58</v>
      </c>
      <c r="G27" s="82">
        <f>'2.1Розрахунки з бюджетом'!G20</f>
        <v>22</v>
      </c>
      <c r="H27" s="82">
        <f>'2.1Розрахунки з бюджетом'!H20</f>
        <v>26</v>
      </c>
      <c r="I27" s="82">
        <f>'2.1Розрахунки з бюджетом'!I20</f>
        <v>5</v>
      </c>
      <c r="J27" s="82">
        <f>'2.1Розрахунки з бюджетом'!J20</f>
        <v>5</v>
      </c>
    </row>
    <row r="28" spans="1:10" ht="49.5" customHeight="1">
      <c r="A28" s="109" t="s">
        <v>224</v>
      </c>
      <c r="B28" s="113">
        <f>'2.1Розрахунки з бюджетом'!B21</f>
        <v>2130</v>
      </c>
      <c r="C28" s="82">
        <f>'2.1Розрахунки з бюджетом'!C21</f>
        <v>0</v>
      </c>
      <c r="D28" s="82">
        <f>'2.1Розрахунки з бюджетом'!D21</f>
        <v>0</v>
      </c>
      <c r="E28" s="82">
        <v>0</v>
      </c>
      <c r="F28" s="82">
        <f>'2.1Розрахунки з бюджетом'!F21</f>
        <v>0</v>
      </c>
      <c r="G28" s="82">
        <f>'2.1Розрахунки з бюджетом'!G21</f>
        <v>0</v>
      </c>
      <c r="H28" s="82">
        <f>'2.1Розрахунки з бюджетом'!H21</f>
        <v>0</v>
      </c>
      <c r="I28" s="82">
        <f>'2.1Розрахунки з бюджетом'!I21</f>
        <v>0</v>
      </c>
      <c r="J28" s="82">
        <f>'2.1Розрахунки з бюджетом'!J21</f>
        <v>0</v>
      </c>
    </row>
    <row r="29" spans="1:10" ht="48" customHeight="1">
      <c r="A29" s="161" t="s">
        <v>179</v>
      </c>
      <c r="B29" s="113">
        <f>'2.1Розрахунки з бюджетом'!B22</f>
        <v>2140</v>
      </c>
      <c r="C29" s="82">
        <f>'2.1Розрахунки з бюджетом'!C22</f>
        <v>1325.2</v>
      </c>
      <c r="D29" s="82">
        <f>'2.1Розрахунки з бюджетом'!D22</f>
        <v>1416</v>
      </c>
      <c r="E29" s="82">
        <f>'2.1Розрахунки з бюджетом'!E22</f>
        <v>1473.9</v>
      </c>
      <c r="F29" s="82">
        <f>'2.1Розрахунки з бюджетом'!F22</f>
        <v>2003.3400000000001</v>
      </c>
      <c r="G29" s="82">
        <f>'2.1Розрахунки з бюджетом'!G22</f>
        <v>474.6</v>
      </c>
      <c r="H29" s="82">
        <f>'2.1Розрахунки з бюджетом'!H22</f>
        <v>465.24</v>
      </c>
      <c r="I29" s="82">
        <f>'2.1Розрахунки з бюджетом'!I22</f>
        <v>528.20000000000005</v>
      </c>
      <c r="J29" s="82">
        <f>'2.1Розрахунки з бюджетом'!J22</f>
        <v>535.29999999999995</v>
      </c>
    </row>
    <row r="30" spans="1:10" ht="39" customHeight="1">
      <c r="A30" s="161" t="s">
        <v>66</v>
      </c>
      <c r="B30" s="113">
        <f>'2.1Розрахунки з бюджетом'!B38</f>
        <v>2150</v>
      </c>
      <c r="C30" s="82">
        <f>'2.1Розрахунки з бюджетом'!C38</f>
        <v>1145</v>
      </c>
      <c r="D30" s="82">
        <f>'2.1Розрахунки з бюджетом'!D38</f>
        <v>1468.6</v>
      </c>
      <c r="E30" s="82">
        <f>'2.1Розрахунки з бюджетом'!E38</f>
        <v>1520.8</v>
      </c>
      <c r="F30" s="82">
        <f>'2.1Розрахунки з бюджетом'!F38</f>
        <v>2163.6166400000002</v>
      </c>
      <c r="G30" s="82">
        <f>'2.1Розрахунки з бюджетом'!G38</f>
        <v>453.2</v>
      </c>
      <c r="H30" s="82">
        <f>'2.1Розрахунки з бюджетом'!H38</f>
        <v>480.8</v>
      </c>
      <c r="I30" s="82">
        <f>'2.1Розрахунки з бюджетом'!I38</f>
        <v>577</v>
      </c>
      <c r="J30" s="82">
        <f>'2.1Розрахунки з бюджетом'!J38</f>
        <v>652.61663999999996</v>
      </c>
    </row>
    <row r="31" spans="1:10" ht="27.75" customHeight="1">
      <c r="A31" s="215" t="s">
        <v>188</v>
      </c>
      <c r="B31" s="122">
        <f>'2.1Розрахунки з бюджетом'!B39</f>
        <v>2200</v>
      </c>
      <c r="C31" s="82">
        <f>'2.1Розрахунки з бюджетом'!C39</f>
        <v>2539.9</v>
      </c>
      <c r="D31" s="82">
        <f>'2.1Розрахунки з бюджетом'!D39</f>
        <v>2973.3999999999996</v>
      </c>
      <c r="E31" s="82">
        <f>'2.1Розрахунки з бюджетом'!E39</f>
        <v>3087.5</v>
      </c>
      <c r="F31" s="82">
        <f>'2.1Розрахунки з бюджетом'!F39</f>
        <v>4237.4388150000004</v>
      </c>
      <c r="G31" s="82">
        <f>'2.1Розрахунки з бюджетом'!G39</f>
        <v>954.64400000000012</v>
      </c>
      <c r="H31" s="82">
        <f>'2.1Розрахунки з бюджетом'!H39</f>
        <v>975.34</v>
      </c>
      <c r="I31" s="82">
        <f>'2.1Розрахунки з бюджетом'!I39</f>
        <v>1112.5646000000002</v>
      </c>
      <c r="J31" s="82">
        <f>'2.1Розрахунки з бюджетом'!J39</f>
        <v>1194.8902149999999</v>
      </c>
    </row>
    <row r="32" spans="1:10" ht="24.95" customHeight="1">
      <c r="A32" s="561" t="s">
        <v>117</v>
      </c>
      <c r="B32" s="561"/>
      <c r="C32" s="561"/>
      <c r="D32" s="561"/>
      <c r="E32" s="561"/>
      <c r="F32" s="561"/>
      <c r="G32" s="561"/>
      <c r="H32" s="561"/>
      <c r="I32" s="561"/>
      <c r="J32" s="561"/>
    </row>
    <row r="33" spans="1:10" ht="20.100000000000001" customHeight="1">
      <c r="A33" s="161" t="s">
        <v>112</v>
      </c>
      <c r="B33" s="122">
        <f>'3.1.Рух грошових коштів'!B73</f>
        <v>3600</v>
      </c>
      <c r="C33" s="82">
        <f>'3.1.Рух грошових коштів'!C73</f>
        <v>59</v>
      </c>
      <c r="D33" s="82">
        <f>'3.1.Рух грошових коштів'!D73</f>
        <v>60</v>
      </c>
      <c r="E33" s="82">
        <f>'3.1.Рух грошових коштів'!E73</f>
        <v>137</v>
      </c>
      <c r="F33" s="82">
        <f>'3.1.Рух грошових коштів'!F73</f>
        <v>448</v>
      </c>
      <c r="G33" s="82">
        <f>'3.1.Рух грошових коштів'!G73</f>
        <v>448</v>
      </c>
      <c r="H33" s="82">
        <f>'3.1.Рух грошових коштів'!H73</f>
        <v>460.95600000000042</v>
      </c>
      <c r="I33" s="82">
        <f>'3.1.Рух грошових коштів'!I73</f>
        <v>468.01599999999985</v>
      </c>
      <c r="J33" s="82">
        <f>'3.1.Рух грошових коштів'!J73</f>
        <v>473.32139999999964</v>
      </c>
    </row>
    <row r="34" spans="1:10" ht="20.100000000000001" customHeight="1">
      <c r="A34" s="161" t="s">
        <v>113</v>
      </c>
      <c r="B34" s="113">
        <f>'3.1.Рух грошових коштів'!B28</f>
        <v>3090</v>
      </c>
      <c r="C34" s="82">
        <f>'3.1.Рух грошових коштів'!C28</f>
        <v>26.7</v>
      </c>
      <c r="D34" s="82">
        <f>'3.1.Рух грошових коштів'!D28</f>
        <v>22.899999999999636</v>
      </c>
      <c r="E34" s="82">
        <f>'3.1.Рух грошових коштів'!E28</f>
        <v>31.242000000000001</v>
      </c>
      <c r="F34" s="82">
        <f>'3.1.Рух грошових коштів'!F28</f>
        <v>29.656574999999727</v>
      </c>
      <c r="G34" s="82">
        <f>'3.1.Рух грошових коштів'!G28</f>
        <v>12.95600000000039</v>
      </c>
      <c r="H34" s="82">
        <f>'3.1.Рух грошових коштів'!H28</f>
        <v>6.959999999999396</v>
      </c>
      <c r="I34" s="82">
        <f>'3.1.Рух грошових коштів'!I28</f>
        <v>5.305399999999775</v>
      </c>
      <c r="J34" s="82">
        <f>'3.1.Рух грошових коштів'!J28</f>
        <v>4.4351750000001644</v>
      </c>
    </row>
    <row r="35" spans="1:10" ht="20.100000000000001" customHeight="1">
      <c r="A35" s="161" t="s">
        <v>173</v>
      </c>
      <c r="B35" s="113">
        <f>'3.1.Рух грошових коштів'!B45</f>
        <v>3320</v>
      </c>
      <c r="C35" s="10">
        <f>'3.1.Рух грошових коштів'!C45</f>
        <v>0</v>
      </c>
      <c r="D35" s="10">
        <f>'3.1.Рух грошових коштів'!D45</f>
        <v>0</v>
      </c>
      <c r="E35" s="10">
        <v>0</v>
      </c>
      <c r="F35" s="10">
        <f>'3.1.Рух грошових коштів'!F45</f>
        <v>0</v>
      </c>
      <c r="G35" s="10">
        <f>'3.1.Рух грошових коштів'!G45</f>
        <v>0</v>
      </c>
      <c r="H35" s="10">
        <f>'3.1.Рух грошових коштів'!H45</f>
        <v>0</v>
      </c>
      <c r="I35" s="10">
        <f>'3.1.Рух грошових коштів'!I45</f>
        <v>0</v>
      </c>
      <c r="J35" s="10">
        <f>'3.1.Рух грошових коштів'!J45</f>
        <v>0</v>
      </c>
    </row>
    <row r="36" spans="1:10" ht="20.100000000000001" customHeight="1">
      <c r="A36" s="161" t="s">
        <v>114</v>
      </c>
      <c r="B36" s="113">
        <f>'3.1.Рух грошових коштів'!B71</f>
        <v>3580</v>
      </c>
      <c r="C36" s="10">
        <f>'3.1.Рух грошових коштів'!C71</f>
        <v>0</v>
      </c>
      <c r="D36" s="10">
        <f>'3.1.Рух грошових коштів'!D71</f>
        <v>0</v>
      </c>
      <c r="E36" s="10">
        <v>0</v>
      </c>
      <c r="F36" s="10">
        <f>'3.1.Рух грошових коштів'!F71</f>
        <v>5.7</v>
      </c>
      <c r="G36" s="10">
        <f>'3.1.Рух грошових коштів'!G71</f>
        <v>0</v>
      </c>
      <c r="H36" s="10">
        <f>'3.1.Рух грошових коштів'!H71</f>
        <v>5.7</v>
      </c>
      <c r="I36" s="10">
        <f>'3.1.Рух грошових коштів'!I71</f>
        <v>0</v>
      </c>
      <c r="J36" s="10">
        <f>'3.1.Рух грошових коштів'!J71</f>
        <v>0</v>
      </c>
    </row>
    <row r="37" spans="1:10" ht="20.100000000000001" customHeight="1">
      <c r="A37" s="161" t="s">
        <v>130</v>
      </c>
      <c r="B37" s="113">
        <f>'3.1.Рух грошових коштів'!B74</f>
        <v>3610</v>
      </c>
      <c r="C37" s="10">
        <f>'3.1.Рух грошових коштів'!C74</f>
        <v>0</v>
      </c>
      <c r="D37" s="10">
        <f>'3.1.Рух грошових коштів'!D74</f>
        <v>0</v>
      </c>
      <c r="E37" s="10">
        <v>0</v>
      </c>
      <c r="F37" s="10">
        <f>'3.1.Рух грошових коштів'!F74</f>
        <v>0</v>
      </c>
      <c r="G37" s="10">
        <f>'3.1.Рух грошових коштів'!G74</f>
        <v>0</v>
      </c>
      <c r="H37" s="10">
        <f>'3.1.Рух грошових коштів'!H74</f>
        <v>0</v>
      </c>
      <c r="I37" s="10">
        <f>'3.1.Рух грошових коштів'!I74</f>
        <v>0</v>
      </c>
      <c r="J37" s="10">
        <f>'3.1.Рух грошових коштів'!J74</f>
        <v>0</v>
      </c>
    </row>
    <row r="38" spans="1:10" ht="20.100000000000001" customHeight="1">
      <c r="A38" s="161" t="s">
        <v>115</v>
      </c>
      <c r="B38" s="122">
        <f>'3.1.Рух грошових коштів'!B75</f>
        <v>3620</v>
      </c>
      <c r="C38" s="82">
        <f>'3.1.Рух грошових коштів'!C75</f>
        <v>137</v>
      </c>
      <c r="D38" s="82">
        <f>'3.1.Рух грошових коштів'!D75</f>
        <v>82.9</v>
      </c>
      <c r="E38" s="82">
        <f>'3.1.Рух грошових коштів'!E75</f>
        <v>145</v>
      </c>
      <c r="F38" s="82">
        <f>'3.1.Рух грошових коштів'!F75</f>
        <v>477.65657499999975</v>
      </c>
      <c r="G38" s="82">
        <f>'3.1.Рух грошових коштів'!G75</f>
        <v>460.95600000000042</v>
      </c>
      <c r="H38" s="82">
        <f>'3.1.Рух грошових коштів'!H75</f>
        <v>468.01599999999985</v>
      </c>
      <c r="I38" s="82">
        <f>'3.1.Рух грошових коштів'!I75</f>
        <v>473.32139999999964</v>
      </c>
      <c r="J38" s="82">
        <f>'3.1.Рух грошових коштів'!J75</f>
        <v>477.6565749999998</v>
      </c>
    </row>
    <row r="39" spans="1:10" ht="24.95" customHeight="1">
      <c r="A39" s="571" t="s">
        <v>163</v>
      </c>
      <c r="B39" s="572"/>
      <c r="C39" s="572"/>
      <c r="D39" s="572"/>
      <c r="E39" s="572"/>
      <c r="F39" s="572"/>
      <c r="G39" s="572"/>
      <c r="H39" s="572"/>
      <c r="I39" s="572"/>
      <c r="J39" s="573"/>
    </row>
    <row r="40" spans="1:10" ht="20.100000000000001" customHeight="1">
      <c r="A40" s="215" t="s">
        <v>162</v>
      </c>
      <c r="B40" s="113">
        <f>'4.1.Кап. інвестиції'!B8</f>
        <v>4000</v>
      </c>
      <c r="C40" s="82">
        <f>'4.1.Кап. інвестиції'!C8</f>
        <v>495</v>
      </c>
      <c r="D40" s="82">
        <f>'4.1.Кап. інвестиції'!D8</f>
        <v>0</v>
      </c>
      <c r="E40" s="82">
        <f>'4.1.Кап. інвестиції'!E8</f>
        <v>0</v>
      </c>
      <c r="F40" s="82">
        <f>'4.1.Кап. інвестиції'!F8</f>
        <v>8733.9</v>
      </c>
      <c r="G40" s="82">
        <f>'4.1.Кап. інвестиції'!G8</f>
        <v>0</v>
      </c>
      <c r="H40" s="82">
        <f>'4.1.Кап. інвестиції'!H8</f>
        <v>4218.8999999999996</v>
      </c>
      <c r="I40" s="82">
        <f>'4.1.Кап. інвестиції'!I8</f>
        <v>0</v>
      </c>
      <c r="J40" s="82">
        <v>0</v>
      </c>
    </row>
    <row r="41" spans="1:10" ht="19.5" customHeight="1">
      <c r="A41" s="128" t="s">
        <v>338</v>
      </c>
      <c r="B41" s="129"/>
      <c r="C41" s="569" t="s">
        <v>85</v>
      </c>
      <c r="D41" s="569"/>
      <c r="E41" s="569"/>
      <c r="F41" s="570"/>
      <c r="G41" s="130"/>
      <c r="H41" s="566" t="s">
        <v>329</v>
      </c>
      <c r="I41" s="566"/>
      <c r="J41" s="566"/>
    </row>
    <row r="42" spans="1:10" s="2" customFormat="1" ht="21" customHeight="1">
      <c r="A42" s="50" t="s">
        <v>61</v>
      </c>
      <c r="B42" s="131"/>
      <c r="C42" s="566" t="s">
        <v>62</v>
      </c>
      <c r="D42" s="566"/>
      <c r="E42" s="566"/>
      <c r="F42" s="566"/>
      <c r="G42" s="132"/>
      <c r="H42" s="566" t="s">
        <v>81</v>
      </c>
      <c r="I42" s="566"/>
      <c r="J42" s="566"/>
    </row>
    <row r="44" spans="1:10">
      <c r="A44" s="37"/>
    </row>
    <row r="45" spans="1:10">
      <c r="A45" s="37"/>
    </row>
    <row r="46" spans="1:10">
      <c r="A46" s="37"/>
    </row>
    <row r="47" spans="1:10" s="21" customFormat="1">
      <c r="A47" s="37"/>
      <c r="F47" s="3"/>
      <c r="G47" s="3"/>
      <c r="H47" s="3"/>
      <c r="I47" s="3"/>
      <c r="J47" s="3"/>
    </row>
    <row r="48" spans="1:10" s="21" customFormat="1">
      <c r="A48" s="37"/>
      <c r="F48" s="3"/>
      <c r="G48" s="3"/>
      <c r="H48" s="3"/>
      <c r="I48" s="3"/>
      <c r="J48" s="3"/>
    </row>
    <row r="49" spans="1:10" s="21" customFormat="1">
      <c r="A49" s="37"/>
      <c r="F49" s="3"/>
      <c r="G49" s="3"/>
      <c r="H49" s="3"/>
      <c r="I49" s="3"/>
      <c r="J49" s="3"/>
    </row>
    <row r="50" spans="1:10" s="21" customFormat="1">
      <c r="A50" s="37"/>
      <c r="F50" s="3"/>
      <c r="G50" s="3"/>
      <c r="H50" s="3"/>
      <c r="I50" s="3"/>
      <c r="J50" s="3"/>
    </row>
    <row r="51" spans="1:10" s="21" customFormat="1">
      <c r="A51" s="37"/>
      <c r="F51" s="3"/>
      <c r="G51" s="3"/>
      <c r="H51" s="3"/>
      <c r="I51" s="3"/>
      <c r="J51" s="3"/>
    </row>
    <row r="52" spans="1:10" s="21" customFormat="1">
      <c r="A52" s="37"/>
      <c r="F52" s="3"/>
      <c r="G52" s="3"/>
      <c r="H52" s="3"/>
      <c r="I52" s="3"/>
      <c r="J52" s="3"/>
    </row>
    <row r="53" spans="1:10" s="21" customFormat="1">
      <c r="A53" s="37"/>
      <c r="F53" s="3"/>
      <c r="G53" s="3"/>
      <c r="H53" s="3"/>
      <c r="I53" s="3"/>
      <c r="J53" s="3"/>
    </row>
    <row r="54" spans="1:10" s="21" customFormat="1">
      <c r="A54" s="37"/>
      <c r="F54" s="3"/>
      <c r="G54" s="3"/>
      <c r="H54" s="3"/>
      <c r="I54" s="3"/>
      <c r="J54" s="3"/>
    </row>
    <row r="55" spans="1:10" s="21" customFormat="1">
      <c r="A55" s="37"/>
      <c r="F55" s="3"/>
      <c r="G55" s="3"/>
      <c r="H55" s="3"/>
      <c r="I55" s="3"/>
      <c r="J55" s="3"/>
    </row>
    <row r="56" spans="1:10" s="21" customFormat="1">
      <c r="A56" s="37"/>
      <c r="F56" s="3"/>
      <c r="G56" s="3"/>
      <c r="H56" s="3"/>
      <c r="I56" s="3"/>
      <c r="J56" s="3"/>
    </row>
    <row r="57" spans="1:10" s="21" customFormat="1">
      <c r="A57" s="37"/>
      <c r="F57" s="3"/>
      <c r="G57" s="3"/>
      <c r="H57" s="3"/>
      <c r="I57" s="3"/>
      <c r="J57" s="3"/>
    </row>
    <row r="58" spans="1:10" s="21" customFormat="1">
      <c r="A58" s="37"/>
      <c r="F58" s="3"/>
      <c r="G58" s="3"/>
      <c r="H58" s="3"/>
      <c r="I58" s="3"/>
      <c r="J58" s="3"/>
    </row>
    <row r="59" spans="1:10" s="21" customFormat="1">
      <c r="A59" s="37"/>
      <c r="F59" s="3"/>
      <c r="G59" s="3"/>
      <c r="H59" s="3"/>
      <c r="I59" s="3"/>
      <c r="J59" s="3"/>
    </row>
    <row r="60" spans="1:10" s="21" customFormat="1">
      <c r="A60" s="37"/>
      <c r="F60" s="3"/>
      <c r="G60" s="3"/>
      <c r="H60" s="3"/>
      <c r="I60" s="3"/>
      <c r="J60" s="3"/>
    </row>
    <row r="61" spans="1:10" s="21" customFormat="1">
      <c r="A61" s="37"/>
      <c r="F61" s="3"/>
      <c r="G61" s="3"/>
      <c r="H61" s="3"/>
      <c r="I61" s="3"/>
      <c r="J61" s="3"/>
    </row>
    <row r="62" spans="1:10" s="21" customFormat="1">
      <c r="A62" s="37"/>
      <c r="F62" s="3"/>
      <c r="G62" s="3"/>
      <c r="H62" s="3"/>
      <c r="I62" s="3"/>
      <c r="J62" s="3"/>
    </row>
    <row r="63" spans="1:10" s="21" customFormat="1">
      <c r="A63" s="37"/>
      <c r="F63" s="3"/>
      <c r="G63" s="3"/>
      <c r="H63" s="3"/>
      <c r="I63" s="3"/>
      <c r="J63" s="3"/>
    </row>
    <row r="64" spans="1:10" s="21" customFormat="1">
      <c r="A64" s="37"/>
      <c r="F64" s="3"/>
      <c r="G64" s="3"/>
      <c r="H64" s="3"/>
      <c r="I64" s="3"/>
      <c r="J64" s="3"/>
    </row>
    <row r="65" spans="1:10" s="21" customFormat="1">
      <c r="A65" s="37"/>
      <c r="F65" s="3"/>
      <c r="G65" s="3"/>
      <c r="H65" s="3"/>
      <c r="I65" s="3"/>
      <c r="J65" s="3"/>
    </row>
    <row r="66" spans="1:10" s="21" customFormat="1">
      <c r="A66" s="37"/>
      <c r="F66" s="3"/>
      <c r="G66" s="3"/>
      <c r="H66" s="3"/>
      <c r="I66" s="3"/>
      <c r="J66" s="3"/>
    </row>
    <row r="67" spans="1:10" s="21" customFormat="1">
      <c r="A67" s="37"/>
      <c r="F67" s="3"/>
      <c r="G67" s="3"/>
      <c r="H67" s="3"/>
      <c r="I67" s="3"/>
      <c r="J67" s="3"/>
    </row>
    <row r="68" spans="1:10" s="21" customFormat="1">
      <c r="A68" s="37"/>
      <c r="F68" s="3"/>
      <c r="G68" s="3"/>
      <c r="H68" s="3"/>
      <c r="I68" s="3"/>
      <c r="J68" s="3"/>
    </row>
    <row r="69" spans="1:10" s="21" customFormat="1">
      <c r="A69" s="37"/>
      <c r="F69" s="3"/>
      <c r="G69" s="3"/>
      <c r="H69" s="3"/>
      <c r="I69" s="3"/>
      <c r="J69" s="3"/>
    </row>
    <row r="70" spans="1:10" s="21" customFormat="1">
      <c r="A70" s="37"/>
      <c r="F70" s="3"/>
      <c r="G70" s="3"/>
      <c r="H70" s="3"/>
      <c r="I70" s="3"/>
      <c r="J70" s="3"/>
    </row>
    <row r="71" spans="1:10" s="21" customFormat="1">
      <c r="A71" s="37"/>
      <c r="F71" s="3"/>
      <c r="G71" s="3"/>
      <c r="H71" s="3"/>
      <c r="I71" s="3"/>
      <c r="J71" s="3"/>
    </row>
    <row r="72" spans="1:10" s="21" customFormat="1">
      <c r="A72" s="37"/>
      <c r="F72" s="3"/>
      <c r="G72" s="3"/>
      <c r="H72" s="3"/>
      <c r="I72" s="3"/>
      <c r="J72" s="3"/>
    </row>
    <row r="73" spans="1:10" s="21" customFormat="1">
      <c r="A73" s="37"/>
      <c r="F73" s="3"/>
      <c r="G73" s="3"/>
      <c r="H73" s="3"/>
      <c r="I73" s="3"/>
      <c r="J73" s="3"/>
    </row>
    <row r="74" spans="1:10" s="21" customFormat="1">
      <c r="A74" s="37"/>
      <c r="F74" s="3"/>
      <c r="G74" s="3"/>
      <c r="H74" s="3"/>
      <c r="I74" s="3"/>
      <c r="J74" s="3"/>
    </row>
    <row r="75" spans="1:10" s="21" customFormat="1">
      <c r="A75" s="37"/>
      <c r="F75" s="3"/>
      <c r="G75" s="3"/>
      <c r="H75" s="3"/>
      <c r="I75" s="3"/>
      <c r="J75" s="3"/>
    </row>
    <row r="76" spans="1:10" s="21" customFormat="1">
      <c r="A76" s="37"/>
      <c r="F76" s="3"/>
      <c r="G76" s="3"/>
      <c r="H76" s="3"/>
      <c r="I76" s="3"/>
      <c r="J76" s="3"/>
    </row>
    <row r="77" spans="1:10" s="21" customFormat="1">
      <c r="A77" s="37"/>
      <c r="F77" s="3"/>
      <c r="G77" s="3"/>
      <c r="H77" s="3"/>
      <c r="I77" s="3"/>
      <c r="J77" s="3"/>
    </row>
    <row r="78" spans="1:10" s="21" customFormat="1">
      <c r="A78" s="37"/>
      <c r="F78" s="3"/>
      <c r="G78" s="3"/>
      <c r="H78" s="3"/>
      <c r="I78" s="3"/>
      <c r="J78" s="3"/>
    </row>
    <row r="79" spans="1:10" s="21" customFormat="1">
      <c r="A79" s="37"/>
      <c r="F79" s="3"/>
      <c r="G79" s="3"/>
      <c r="H79" s="3"/>
      <c r="I79" s="3"/>
      <c r="J79" s="3"/>
    </row>
    <row r="80" spans="1:10" s="21" customFormat="1">
      <c r="A80" s="37"/>
      <c r="F80" s="3"/>
      <c r="G80" s="3"/>
      <c r="H80" s="3"/>
      <c r="I80" s="3"/>
      <c r="J80" s="3"/>
    </row>
    <row r="81" spans="1:10" s="21" customFormat="1">
      <c r="A81" s="37"/>
      <c r="F81" s="3"/>
      <c r="G81" s="3"/>
      <c r="H81" s="3"/>
      <c r="I81" s="3"/>
      <c r="J81" s="3"/>
    </row>
    <row r="82" spans="1:10" s="21" customFormat="1">
      <c r="A82" s="37"/>
      <c r="F82" s="3"/>
      <c r="G82" s="3"/>
      <c r="H82" s="3"/>
      <c r="I82" s="3"/>
      <c r="J82" s="3"/>
    </row>
    <row r="83" spans="1:10" s="21" customFormat="1">
      <c r="A83" s="37"/>
      <c r="F83" s="3"/>
      <c r="G83" s="3"/>
      <c r="H83" s="3"/>
      <c r="I83" s="3"/>
      <c r="J83" s="3"/>
    </row>
    <row r="84" spans="1:10" s="21" customFormat="1">
      <c r="A84" s="37"/>
      <c r="F84" s="3"/>
      <c r="G84" s="3"/>
      <c r="H84" s="3"/>
      <c r="I84" s="3"/>
      <c r="J84" s="3"/>
    </row>
    <row r="85" spans="1:10" s="21" customFormat="1">
      <c r="A85" s="37"/>
      <c r="F85" s="3"/>
      <c r="G85" s="3"/>
      <c r="H85" s="3"/>
      <c r="I85" s="3"/>
      <c r="J85" s="3"/>
    </row>
    <row r="86" spans="1:10" s="21" customFormat="1">
      <c r="A86" s="37"/>
      <c r="F86" s="3"/>
      <c r="G86" s="3"/>
      <c r="H86" s="3"/>
      <c r="I86" s="3"/>
      <c r="J86" s="3"/>
    </row>
    <row r="87" spans="1:10" s="21" customFormat="1">
      <c r="A87" s="37"/>
      <c r="F87" s="3"/>
      <c r="G87" s="3"/>
      <c r="H87" s="3"/>
      <c r="I87" s="3"/>
      <c r="J87" s="3"/>
    </row>
    <row r="88" spans="1:10" s="21" customFormat="1">
      <c r="A88" s="37"/>
      <c r="F88" s="3"/>
      <c r="G88" s="3"/>
      <c r="H88" s="3"/>
      <c r="I88" s="3"/>
      <c r="J88" s="3"/>
    </row>
    <row r="89" spans="1:10" s="21" customFormat="1">
      <c r="A89" s="37"/>
      <c r="F89" s="3"/>
      <c r="G89" s="3"/>
      <c r="H89" s="3"/>
      <c r="I89" s="3"/>
      <c r="J89" s="3"/>
    </row>
    <row r="90" spans="1:10" s="21" customFormat="1">
      <c r="A90" s="37"/>
      <c r="F90" s="3"/>
      <c r="G90" s="3"/>
      <c r="H90" s="3"/>
      <c r="I90" s="3"/>
      <c r="J90" s="3"/>
    </row>
    <row r="91" spans="1:10" s="21" customFormat="1">
      <c r="A91" s="37"/>
      <c r="F91" s="3"/>
      <c r="G91" s="3"/>
      <c r="H91" s="3"/>
      <c r="I91" s="3"/>
      <c r="J91" s="3"/>
    </row>
    <row r="92" spans="1:10" s="21" customFormat="1">
      <c r="A92" s="37"/>
      <c r="F92" s="3"/>
      <c r="G92" s="3"/>
      <c r="H92" s="3"/>
      <c r="I92" s="3"/>
      <c r="J92" s="3"/>
    </row>
    <row r="93" spans="1:10" s="21" customFormat="1">
      <c r="A93" s="37"/>
      <c r="F93" s="3"/>
      <c r="G93" s="3"/>
      <c r="H93" s="3"/>
      <c r="I93" s="3"/>
      <c r="J93" s="3"/>
    </row>
    <row r="94" spans="1:10" s="21" customFormat="1">
      <c r="A94" s="37"/>
      <c r="F94" s="3"/>
      <c r="G94" s="3"/>
      <c r="H94" s="3"/>
      <c r="I94" s="3"/>
      <c r="J94" s="3"/>
    </row>
    <row r="95" spans="1:10" s="21" customFormat="1">
      <c r="A95" s="37"/>
      <c r="F95" s="3"/>
      <c r="G95" s="3"/>
      <c r="H95" s="3"/>
      <c r="I95" s="3"/>
      <c r="J95" s="3"/>
    </row>
    <row r="96" spans="1:10" s="21" customFormat="1">
      <c r="A96" s="37"/>
      <c r="F96" s="3"/>
      <c r="G96" s="3"/>
      <c r="H96" s="3"/>
      <c r="I96" s="3"/>
      <c r="J96" s="3"/>
    </row>
    <row r="97" spans="1:10" s="21" customFormat="1">
      <c r="A97" s="37"/>
      <c r="F97" s="3"/>
      <c r="G97" s="3"/>
      <c r="H97" s="3"/>
      <c r="I97" s="3"/>
      <c r="J97" s="3"/>
    </row>
    <row r="98" spans="1:10" s="21" customFormat="1">
      <c r="A98" s="37"/>
      <c r="F98" s="3"/>
      <c r="G98" s="3"/>
      <c r="H98" s="3"/>
      <c r="I98" s="3"/>
      <c r="J98" s="3"/>
    </row>
    <row r="99" spans="1:10" s="21" customFormat="1">
      <c r="A99" s="37"/>
      <c r="F99" s="3"/>
      <c r="G99" s="3"/>
      <c r="H99" s="3"/>
      <c r="I99" s="3"/>
      <c r="J99" s="3"/>
    </row>
    <row r="100" spans="1:10" s="21" customFormat="1">
      <c r="A100" s="37"/>
      <c r="F100" s="3"/>
      <c r="G100" s="3"/>
      <c r="H100" s="3"/>
      <c r="I100" s="3"/>
      <c r="J100" s="3"/>
    </row>
    <row r="101" spans="1:10" s="21" customFormat="1">
      <c r="A101" s="37"/>
      <c r="F101" s="3"/>
      <c r="G101" s="3"/>
      <c r="H101" s="3"/>
      <c r="I101" s="3"/>
      <c r="J101" s="3"/>
    </row>
    <row r="102" spans="1:10" s="21" customFormat="1">
      <c r="A102" s="37"/>
      <c r="F102" s="3"/>
      <c r="G102" s="3"/>
      <c r="H102" s="3"/>
      <c r="I102" s="3"/>
      <c r="J102" s="3"/>
    </row>
    <row r="103" spans="1:10" s="21" customFormat="1">
      <c r="A103" s="37"/>
      <c r="F103" s="3"/>
      <c r="G103" s="3"/>
      <c r="H103" s="3"/>
      <c r="I103" s="3"/>
      <c r="J103" s="3"/>
    </row>
    <row r="104" spans="1:10" s="21" customFormat="1">
      <c r="A104" s="37"/>
      <c r="F104" s="3"/>
      <c r="G104" s="3"/>
      <c r="H104" s="3"/>
      <c r="I104" s="3"/>
      <c r="J104" s="3"/>
    </row>
    <row r="105" spans="1:10" s="21" customFormat="1">
      <c r="A105" s="37"/>
      <c r="F105" s="3"/>
      <c r="G105" s="3"/>
      <c r="H105" s="3"/>
      <c r="I105" s="3"/>
      <c r="J105" s="3"/>
    </row>
    <row r="106" spans="1:10" s="21" customFormat="1">
      <c r="A106" s="37"/>
      <c r="F106" s="3"/>
      <c r="G106" s="3"/>
      <c r="H106" s="3"/>
      <c r="I106" s="3"/>
      <c r="J106" s="3"/>
    </row>
    <row r="107" spans="1:10" s="21" customFormat="1">
      <c r="A107" s="37"/>
      <c r="F107" s="3"/>
      <c r="G107" s="3"/>
      <c r="H107" s="3"/>
      <c r="I107" s="3"/>
      <c r="J107" s="3"/>
    </row>
    <row r="108" spans="1:10" s="21" customFormat="1">
      <c r="A108" s="37"/>
      <c r="F108" s="3"/>
      <c r="G108" s="3"/>
      <c r="H108" s="3"/>
      <c r="I108" s="3"/>
      <c r="J108" s="3"/>
    </row>
    <row r="109" spans="1:10" s="21" customFormat="1">
      <c r="A109" s="37"/>
      <c r="F109" s="3"/>
      <c r="G109" s="3"/>
      <c r="H109" s="3"/>
      <c r="I109" s="3"/>
      <c r="J109" s="3"/>
    </row>
    <row r="110" spans="1:10" s="21" customFormat="1">
      <c r="A110" s="37"/>
      <c r="F110" s="3"/>
      <c r="G110" s="3"/>
      <c r="H110" s="3"/>
      <c r="I110" s="3"/>
      <c r="J110" s="3"/>
    </row>
    <row r="111" spans="1:10" s="21" customFormat="1">
      <c r="A111" s="37"/>
      <c r="F111" s="3"/>
      <c r="G111" s="3"/>
      <c r="H111" s="3"/>
      <c r="I111" s="3"/>
      <c r="J111" s="3"/>
    </row>
    <row r="112" spans="1:10" s="21" customFormat="1">
      <c r="A112" s="37"/>
      <c r="F112" s="3"/>
      <c r="G112" s="3"/>
      <c r="H112" s="3"/>
      <c r="I112" s="3"/>
      <c r="J112" s="3"/>
    </row>
    <row r="113" spans="1:10" s="21" customFormat="1">
      <c r="A113" s="37"/>
      <c r="F113" s="3"/>
      <c r="G113" s="3"/>
      <c r="H113" s="3"/>
      <c r="I113" s="3"/>
      <c r="J113" s="3"/>
    </row>
    <row r="114" spans="1:10" s="21" customFormat="1">
      <c r="A114" s="37"/>
      <c r="F114" s="3"/>
      <c r="G114" s="3"/>
      <c r="H114" s="3"/>
      <c r="I114" s="3"/>
      <c r="J114" s="3"/>
    </row>
    <row r="115" spans="1:10" s="21" customFormat="1">
      <c r="A115" s="37"/>
      <c r="F115" s="3"/>
      <c r="G115" s="3"/>
      <c r="H115" s="3"/>
      <c r="I115" s="3"/>
      <c r="J115" s="3"/>
    </row>
    <row r="116" spans="1:10" s="21" customFormat="1">
      <c r="A116" s="37"/>
      <c r="F116" s="3"/>
      <c r="G116" s="3"/>
      <c r="H116" s="3"/>
      <c r="I116" s="3"/>
      <c r="J116" s="3"/>
    </row>
    <row r="117" spans="1:10" s="21" customFormat="1">
      <c r="A117" s="37"/>
      <c r="F117" s="3"/>
      <c r="G117" s="3"/>
      <c r="H117" s="3"/>
      <c r="I117" s="3"/>
      <c r="J117" s="3"/>
    </row>
    <row r="118" spans="1:10" s="21" customFormat="1">
      <c r="A118" s="37"/>
      <c r="F118" s="3"/>
      <c r="G118" s="3"/>
      <c r="H118" s="3"/>
      <c r="I118" s="3"/>
      <c r="J118" s="3"/>
    </row>
    <row r="119" spans="1:10" s="21" customFormat="1">
      <c r="A119" s="37"/>
      <c r="F119" s="3"/>
      <c r="G119" s="3"/>
      <c r="H119" s="3"/>
      <c r="I119" s="3"/>
      <c r="J119" s="3"/>
    </row>
    <row r="120" spans="1:10" s="21" customFormat="1">
      <c r="A120" s="37"/>
      <c r="F120" s="3"/>
      <c r="G120" s="3"/>
      <c r="H120" s="3"/>
      <c r="I120" s="3"/>
      <c r="J120" s="3"/>
    </row>
    <row r="121" spans="1:10" s="21" customFormat="1">
      <c r="A121" s="37"/>
      <c r="F121" s="3"/>
      <c r="G121" s="3"/>
      <c r="H121" s="3"/>
      <c r="I121" s="3"/>
      <c r="J121" s="3"/>
    </row>
    <row r="122" spans="1:10" s="21" customFormat="1">
      <c r="A122" s="37"/>
      <c r="F122" s="3"/>
      <c r="G122" s="3"/>
      <c r="H122" s="3"/>
      <c r="I122" s="3"/>
      <c r="J122" s="3"/>
    </row>
    <row r="123" spans="1:10" s="21" customFormat="1">
      <c r="A123" s="37"/>
      <c r="F123" s="3"/>
      <c r="G123" s="3"/>
      <c r="H123" s="3"/>
      <c r="I123" s="3"/>
      <c r="J123" s="3"/>
    </row>
    <row r="124" spans="1:10" s="21" customFormat="1">
      <c r="A124" s="37"/>
      <c r="F124" s="3"/>
      <c r="G124" s="3"/>
      <c r="H124" s="3"/>
      <c r="I124" s="3"/>
      <c r="J124" s="3"/>
    </row>
    <row r="125" spans="1:10" s="21" customFormat="1">
      <c r="A125" s="37"/>
      <c r="F125" s="3"/>
      <c r="G125" s="3"/>
      <c r="H125" s="3"/>
      <c r="I125" s="3"/>
      <c r="J125" s="3"/>
    </row>
    <row r="126" spans="1:10" s="21" customFormat="1">
      <c r="A126" s="37"/>
      <c r="F126" s="3"/>
      <c r="G126" s="3"/>
      <c r="H126" s="3"/>
      <c r="I126" s="3"/>
      <c r="J126" s="3"/>
    </row>
    <row r="127" spans="1:10" s="21" customFormat="1">
      <c r="A127" s="37"/>
      <c r="F127" s="3"/>
      <c r="G127" s="3"/>
      <c r="H127" s="3"/>
      <c r="I127" s="3"/>
      <c r="J127" s="3"/>
    </row>
    <row r="128" spans="1:10" s="21" customFormat="1">
      <c r="A128" s="37"/>
      <c r="F128" s="3"/>
      <c r="G128" s="3"/>
      <c r="H128" s="3"/>
      <c r="I128" s="3"/>
      <c r="J128" s="3"/>
    </row>
    <row r="129" spans="1:10" s="21" customFormat="1">
      <c r="A129" s="37"/>
      <c r="F129" s="3"/>
      <c r="G129" s="3"/>
      <c r="H129" s="3"/>
      <c r="I129" s="3"/>
      <c r="J129" s="3"/>
    </row>
    <row r="130" spans="1:10" s="21" customFormat="1">
      <c r="A130" s="37"/>
      <c r="F130" s="3"/>
      <c r="G130" s="3"/>
      <c r="H130" s="3"/>
      <c r="I130" s="3"/>
      <c r="J130" s="3"/>
    </row>
    <row r="131" spans="1:10" s="21" customFormat="1">
      <c r="A131" s="37"/>
      <c r="F131" s="3"/>
      <c r="G131" s="3"/>
      <c r="H131" s="3"/>
      <c r="I131" s="3"/>
      <c r="J131" s="3"/>
    </row>
    <row r="132" spans="1:10" s="21" customFormat="1">
      <c r="A132" s="37"/>
      <c r="F132" s="3"/>
      <c r="G132" s="3"/>
      <c r="H132" s="3"/>
      <c r="I132" s="3"/>
      <c r="J132" s="3"/>
    </row>
    <row r="133" spans="1:10" s="21" customFormat="1">
      <c r="A133" s="37"/>
      <c r="F133" s="3"/>
      <c r="G133" s="3"/>
      <c r="H133" s="3"/>
      <c r="I133" s="3"/>
      <c r="J133" s="3"/>
    </row>
    <row r="134" spans="1:10" s="21" customFormat="1">
      <c r="A134" s="37"/>
      <c r="F134" s="3"/>
      <c r="G134" s="3"/>
      <c r="H134" s="3"/>
      <c r="I134" s="3"/>
      <c r="J134" s="3"/>
    </row>
    <row r="135" spans="1:10" s="21" customFormat="1">
      <c r="A135" s="37"/>
      <c r="F135" s="3"/>
      <c r="G135" s="3"/>
      <c r="H135" s="3"/>
      <c r="I135" s="3"/>
      <c r="J135" s="3"/>
    </row>
    <row r="136" spans="1:10" s="21" customFormat="1">
      <c r="A136" s="37"/>
      <c r="F136" s="3"/>
      <c r="G136" s="3"/>
      <c r="H136" s="3"/>
      <c r="I136" s="3"/>
      <c r="J136" s="3"/>
    </row>
    <row r="137" spans="1:10" s="21" customFormat="1">
      <c r="A137" s="37"/>
      <c r="F137" s="3"/>
      <c r="G137" s="3"/>
      <c r="H137" s="3"/>
      <c r="I137" s="3"/>
      <c r="J137" s="3"/>
    </row>
    <row r="138" spans="1:10" s="21" customFormat="1">
      <c r="A138" s="37"/>
      <c r="F138" s="3"/>
      <c r="G138" s="3"/>
      <c r="H138" s="3"/>
      <c r="I138" s="3"/>
      <c r="J138" s="3"/>
    </row>
    <row r="139" spans="1:10" s="21" customFormat="1">
      <c r="A139" s="37"/>
      <c r="F139" s="3"/>
      <c r="G139" s="3"/>
      <c r="H139" s="3"/>
      <c r="I139" s="3"/>
      <c r="J139" s="3"/>
    </row>
    <row r="140" spans="1:10" s="21" customFormat="1">
      <c r="A140" s="37"/>
      <c r="F140" s="3"/>
      <c r="G140" s="3"/>
      <c r="H140" s="3"/>
      <c r="I140" s="3"/>
      <c r="J140" s="3"/>
    </row>
    <row r="141" spans="1:10" s="21" customFormat="1">
      <c r="A141" s="37"/>
      <c r="F141" s="3"/>
      <c r="G141" s="3"/>
      <c r="H141" s="3"/>
      <c r="I141" s="3"/>
      <c r="J141" s="3"/>
    </row>
    <row r="142" spans="1:10" s="21" customFormat="1">
      <c r="A142" s="37"/>
      <c r="F142" s="3"/>
      <c r="G142" s="3"/>
      <c r="H142" s="3"/>
      <c r="I142" s="3"/>
      <c r="J142" s="3"/>
    </row>
    <row r="143" spans="1:10" s="21" customFormat="1">
      <c r="A143" s="37"/>
      <c r="F143" s="3"/>
      <c r="G143" s="3"/>
      <c r="H143" s="3"/>
      <c r="I143" s="3"/>
      <c r="J143" s="3"/>
    </row>
    <row r="144" spans="1:10" s="21" customFormat="1">
      <c r="A144" s="37"/>
      <c r="F144" s="3"/>
      <c r="G144" s="3"/>
      <c r="H144" s="3"/>
      <c r="I144" s="3"/>
      <c r="J144" s="3"/>
    </row>
    <row r="145" spans="1:10" s="21" customFormat="1">
      <c r="A145" s="37"/>
      <c r="F145" s="3"/>
      <c r="G145" s="3"/>
      <c r="H145" s="3"/>
      <c r="I145" s="3"/>
      <c r="J145" s="3"/>
    </row>
    <row r="146" spans="1:10" s="21" customFormat="1">
      <c r="A146" s="37"/>
      <c r="F146" s="3"/>
      <c r="G146" s="3"/>
      <c r="H146" s="3"/>
      <c r="I146" s="3"/>
      <c r="J146" s="3"/>
    </row>
    <row r="147" spans="1:10" s="21" customFormat="1">
      <c r="A147" s="37"/>
      <c r="F147" s="3"/>
      <c r="G147" s="3"/>
      <c r="H147" s="3"/>
      <c r="I147" s="3"/>
      <c r="J147" s="3"/>
    </row>
    <row r="148" spans="1:10" s="21" customFormat="1">
      <c r="A148" s="37"/>
      <c r="F148" s="3"/>
      <c r="G148" s="3"/>
      <c r="H148" s="3"/>
      <c r="I148" s="3"/>
      <c r="J148" s="3"/>
    </row>
    <row r="149" spans="1:10" s="21" customFormat="1">
      <c r="A149" s="37"/>
      <c r="F149" s="3"/>
      <c r="G149" s="3"/>
      <c r="H149" s="3"/>
      <c r="I149" s="3"/>
      <c r="J149" s="3"/>
    </row>
    <row r="150" spans="1:10" s="21" customFormat="1">
      <c r="A150" s="37"/>
      <c r="F150" s="3"/>
      <c r="G150" s="3"/>
      <c r="H150" s="3"/>
      <c r="I150" s="3"/>
      <c r="J150" s="3"/>
    </row>
    <row r="151" spans="1:10" s="21" customFormat="1">
      <c r="A151" s="37"/>
      <c r="F151" s="3"/>
      <c r="G151" s="3"/>
      <c r="H151" s="3"/>
      <c r="I151" s="3"/>
      <c r="J151" s="3"/>
    </row>
    <row r="152" spans="1:10" s="21" customFormat="1">
      <c r="A152" s="37"/>
      <c r="F152" s="3"/>
      <c r="G152" s="3"/>
      <c r="H152" s="3"/>
      <c r="I152" s="3"/>
      <c r="J152" s="3"/>
    </row>
    <row r="153" spans="1:10" s="21" customFormat="1">
      <c r="A153" s="37"/>
      <c r="F153" s="3"/>
      <c r="G153" s="3"/>
      <c r="H153" s="3"/>
      <c r="I153" s="3"/>
      <c r="J153" s="3"/>
    </row>
    <row r="154" spans="1:10" s="21" customFormat="1">
      <c r="A154" s="37"/>
      <c r="F154" s="3"/>
      <c r="G154" s="3"/>
      <c r="H154" s="3"/>
      <c r="I154" s="3"/>
      <c r="J154" s="3"/>
    </row>
    <row r="155" spans="1:10" s="21" customFormat="1">
      <c r="A155" s="37"/>
      <c r="F155" s="3"/>
      <c r="G155" s="3"/>
      <c r="H155" s="3"/>
      <c r="I155" s="3"/>
      <c r="J155" s="3"/>
    </row>
    <row r="156" spans="1:10" s="21" customFormat="1">
      <c r="A156" s="37"/>
      <c r="F156" s="3"/>
      <c r="G156" s="3"/>
      <c r="H156" s="3"/>
      <c r="I156" s="3"/>
      <c r="J156" s="3"/>
    </row>
    <row r="157" spans="1:10" s="21" customFormat="1">
      <c r="A157" s="37"/>
      <c r="F157" s="3"/>
      <c r="G157" s="3"/>
      <c r="H157" s="3"/>
      <c r="I157" s="3"/>
      <c r="J157" s="3"/>
    </row>
    <row r="158" spans="1:10" s="21" customFormat="1">
      <c r="A158" s="37"/>
      <c r="F158" s="3"/>
      <c r="G158" s="3"/>
      <c r="H158" s="3"/>
      <c r="I158" s="3"/>
      <c r="J158" s="3"/>
    </row>
    <row r="159" spans="1:10" s="21" customFormat="1">
      <c r="A159" s="37"/>
      <c r="F159" s="3"/>
      <c r="G159" s="3"/>
      <c r="H159" s="3"/>
      <c r="I159" s="3"/>
      <c r="J159" s="3"/>
    </row>
    <row r="160" spans="1:10" s="21" customFormat="1">
      <c r="A160" s="37"/>
      <c r="F160" s="3"/>
      <c r="G160" s="3"/>
      <c r="H160" s="3"/>
      <c r="I160" s="3"/>
      <c r="J160" s="3"/>
    </row>
    <row r="161" spans="1:10" s="21" customFormat="1">
      <c r="A161" s="37"/>
      <c r="F161" s="3"/>
      <c r="G161" s="3"/>
      <c r="H161" s="3"/>
      <c r="I161" s="3"/>
      <c r="J161" s="3"/>
    </row>
    <row r="162" spans="1:10" s="21" customFormat="1">
      <c r="A162" s="37"/>
      <c r="F162" s="3"/>
      <c r="G162" s="3"/>
      <c r="H162" s="3"/>
      <c r="I162" s="3"/>
      <c r="J162" s="3"/>
    </row>
    <row r="163" spans="1:10" s="21" customFormat="1">
      <c r="A163" s="37"/>
      <c r="F163" s="3"/>
      <c r="G163" s="3"/>
      <c r="H163" s="3"/>
      <c r="I163" s="3"/>
      <c r="J163" s="3"/>
    </row>
    <row r="164" spans="1:10" s="21" customFormat="1">
      <c r="A164" s="37"/>
      <c r="F164" s="3"/>
      <c r="G164" s="3"/>
      <c r="H164" s="3"/>
      <c r="I164" s="3"/>
      <c r="J164" s="3"/>
    </row>
    <row r="165" spans="1:10" s="21" customFormat="1">
      <c r="A165" s="37"/>
      <c r="F165" s="3"/>
      <c r="G165" s="3"/>
      <c r="H165" s="3"/>
      <c r="I165" s="3"/>
      <c r="J165" s="3"/>
    </row>
    <row r="166" spans="1:10" s="21" customFormat="1">
      <c r="A166" s="37"/>
      <c r="F166" s="3"/>
      <c r="G166" s="3"/>
      <c r="H166" s="3"/>
      <c r="I166" s="3"/>
      <c r="J166" s="3"/>
    </row>
    <row r="167" spans="1:10" s="21" customFormat="1">
      <c r="A167" s="37"/>
      <c r="F167" s="3"/>
      <c r="G167" s="3"/>
      <c r="H167" s="3"/>
      <c r="I167" s="3"/>
      <c r="J167" s="3"/>
    </row>
    <row r="168" spans="1:10" s="21" customFormat="1">
      <c r="A168" s="37"/>
      <c r="F168" s="3"/>
      <c r="G168" s="3"/>
      <c r="H168" s="3"/>
      <c r="I168" s="3"/>
      <c r="J168" s="3"/>
    </row>
    <row r="169" spans="1:10" s="21" customFormat="1">
      <c r="A169" s="37"/>
      <c r="F169" s="3"/>
      <c r="G169" s="3"/>
      <c r="H169" s="3"/>
      <c r="I169" s="3"/>
      <c r="J169" s="3"/>
    </row>
    <row r="170" spans="1:10" s="21" customFormat="1">
      <c r="A170" s="37"/>
      <c r="F170" s="3"/>
      <c r="G170" s="3"/>
      <c r="H170" s="3"/>
      <c r="I170" s="3"/>
      <c r="J170" s="3"/>
    </row>
    <row r="171" spans="1:10" s="21" customFormat="1">
      <c r="A171" s="37"/>
      <c r="F171" s="3"/>
      <c r="G171" s="3"/>
      <c r="H171" s="3"/>
      <c r="I171" s="3"/>
      <c r="J171" s="3"/>
    </row>
    <row r="172" spans="1:10" s="21" customFormat="1">
      <c r="A172" s="37"/>
      <c r="F172" s="3"/>
      <c r="G172" s="3"/>
      <c r="H172" s="3"/>
      <c r="I172" s="3"/>
      <c r="J172" s="3"/>
    </row>
    <row r="173" spans="1:10" s="21" customFormat="1">
      <c r="A173" s="37"/>
      <c r="F173" s="3"/>
      <c r="G173" s="3"/>
      <c r="H173" s="3"/>
      <c r="I173" s="3"/>
      <c r="J173" s="3"/>
    </row>
    <row r="174" spans="1:10" s="21" customFormat="1">
      <c r="A174" s="37"/>
      <c r="F174" s="3"/>
      <c r="G174" s="3"/>
      <c r="H174" s="3"/>
      <c r="I174" s="3"/>
      <c r="J174" s="3"/>
    </row>
    <row r="175" spans="1:10" s="21" customFormat="1">
      <c r="A175" s="37"/>
      <c r="F175" s="3"/>
      <c r="G175" s="3"/>
      <c r="H175" s="3"/>
      <c r="I175" s="3"/>
      <c r="J175" s="3"/>
    </row>
    <row r="176" spans="1:10" s="21" customFormat="1">
      <c r="A176" s="37"/>
      <c r="F176" s="3"/>
      <c r="G176" s="3"/>
      <c r="H176" s="3"/>
      <c r="I176" s="3"/>
      <c r="J176" s="3"/>
    </row>
    <row r="177" spans="1:10" s="21" customFormat="1">
      <c r="A177" s="37"/>
      <c r="F177" s="3"/>
      <c r="G177" s="3"/>
      <c r="H177" s="3"/>
      <c r="I177" s="3"/>
      <c r="J177" s="3"/>
    </row>
    <row r="178" spans="1:10" s="21" customFormat="1">
      <c r="A178" s="37"/>
      <c r="F178" s="3"/>
      <c r="G178" s="3"/>
      <c r="H178" s="3"/>
      <c r="I178" s="3"/>
      <c r="J178" s="3"/>
    </row>
    <row r="179" spans="1:10" s="21" customFormat="1">
      <c r="A179" s="37"/>
      <c r="F179" s="3"/>
      <c r="G179" s="3"/>
      <c r="H179" s="3"/>
      <c r="I179" s="3"/>
      <c r="J179" s="3"/>
    </row>
    <row r="180" spans="1:10" s="21" customFormat="1">
      <c r="A180" s="37"/>
      <c r="F180" s="3"/>
      <c r="G180" s="3"/>
      <c r="H180" s="3"/>
      <c r="I180" s="3"/>
      <c r="J180" s="3"/>
    </row>
    <row r="181" spans="1:10" s="21" customFormat="1">
      <c r="A181" s="37"/>
      <c r="F181" s="3"/>
      <c r="G181" s="3"/>
      <c r="H181" s="3"/>
      <c r="I181" s="3"/>
      <c r="J181" s="3"/>
    </row>
    <row r="182" spans="1:10" s="21" customFormat="1">
      <c r="A182" s="37"/>
      <c r="F182" s="3"/>
      <c r="G182" s="3"/>
      <c r="H182" s="3"/>
      <c r="I182" s="3"/>
      <c r="J182" s="3"/>
    </row>
    <row r="183" spans="1:10" s="21" customFormat="1">
      <c r="A183" s="37"/>
      <c r="F183" s="3"/>
      <c r="G183" s="3"/>
      <c r="H183" s="3"/>
      <c r="I183" s="3"/>
      <c r="J183" s="3"/>
    </row>
    <row r="184" spans="1:10" s="21" customFormat="1">
      <c r="A184" s="37"/>
      <c r="F184" s="3"/>
      <c r="G184" s="3"/>
      <c r="H184" s="3"/>
      <c r="I184" s="3"/>
      <c r="J184" s="3"/>
    </row>
    <row r="185" spans="1:10" s="21" customFormat="1">
      <c r="A185" s="37"/>
      <c r="F185" s="3"/>
      <c r="G185" s="3"/>
      <c r="H185" s="3"/>
      <c r="I185" s="3"/>
      <c r="J185" s="3"/>
    </row>
    <row r="186" spans="1:10" s="21" customFormat="1">
      <c r="A186" s="37"/>
      <c r="F186" s="3"/>
      <c r="G186" s="3"/>
      <c r="H186" s="3"/>
      <c r="I186" s="3"/>
      <c r="J186" s="3"/>
    </row>
    <row r="187" spans="1:10" s="21" customFormat="1">
      <c r="A187" s="37"/>
      <c r="F187" s="3"/>
      <c r="G187" s="3"/>
      <c r="H187" s="3"/>
      <c r="I187" s="3"/>
      <c r="J187" s="3"/>
    </row>
    <row r="188" spans="1:10" s="21" customFormat="1">
      <c r="A188" s="37"/>
      <c r="F188" s="3"/>
      <c r="G188" s="3"/>
      <c r="H188" s="3"/>
      <c r="I188" s="3"/>
      <c r="J188" s="3"/>
    </row>
    <row r="189" spans="1:10" s="21" customFormat="1">
      <c r="A189" s="37"/>
      <c r="F189" s="3"/>
      <c r="G189" s="3"/>
      <c r="H189" s="3"/>
      <c r="I189" s="3"/>
      <c r="J189" s="3"/>
    </row>
    <row r="190" spans="1:10" s="21" customFormat="1">
      <c r="A190" s="37"/>
      <c r="F190" s="3"/>
      <c r="G190" s="3"/>
      <c r="H190" s="3"/>
      <c r="I190" s="3"/>
      <c r="J190" s="3"/>
    </row>
    <row r="191" spans="1:10" s="21" customFormat="1">
      <c r="A191" s="37"/>
      <c r="F191" s="3"/>
      <c r="G191" s="3"/>
      <c r="H191" s="3"/>
      <c r="I191" s="3"/>
      <c r="J191" s="3"/>
    </row>
    <row r="192" spans="1:10" s="21" customFormat="1">
      <c r="A192" s="37"/>
      <c r="F192" s="3"/>
      <c r="G192" s="3"/>
      <c r="H192" s="3"/>
      <c r="I192" s="3"/>
      <c r="J192" s="3"/>
    </row>
    <row r="193" spans="1:10" s="21" customFormat="1">
      <c r="A193" s="37"/>
      <c r="F193" s="3"/>
      <c r="G193" s="3"/>
      <c r="H193" s="3"/>
      <c r="I193" s="3"/>
      <c r="J193" s="3"/>
    </row>
    <row r="194" spans="1:10" s="21" customFormat="1">
      <c r="A194" s="37"/>
      <c r="F194" s="3"/>
      <c r="G194" s="3"/>
      <c r="H194" s="3"/>
      <c r="I194" s="3"/>
      <c r="J194" s="3"/>
    </row>
    <row r="195" spans="1:10" s="21" customFormat="1">
      <c r="A195" s="37"/>
      <c r="F195" s="3"/>
      <c r="G195" s="3"/>
      <c r="H195" s="3"/>
      <c r="I195" s="3"/>
      <c r="J195" s="3"/>
    </row>
    <row r="196" spans="1:10" s="21" customFormat="1">
      <c r="A196" s="37"/>
      <c r="F196" s="3"/>
      <c r="G196" s="3"/>
      <c r="H196" s="3"/>
      <c r="I196" s="3"/>
      <c r="J196" s="3"/>
    </row>
    <row r="197" spans="1:10" s="21" customFormat="1">
      <c r="A197" s="37"/>
      <c r="F197" s="3"/>
      <c r="G197" s="3"/>
      <c r="H197" s="3"/>
      <c r="I197" s="3"/>
      <c r="J197" s="3"/>
    </row>
    <row r="198" spans="1:10" s="21" customFormat="1">
      <c r="A198" s="37"/>
      <c r="F198" s="3"/>
      <c r="G198" s="3"/>
      <c r="H198" s="3"/>
      <c r="I198" s="3"/>
      <c r="J198" s="3"/>
    </row>
    <row r="199" spans="1:10" s="21" customFormat="1">
      <c r="A199" s="37"/>
      <c r="F199" s="3"/>
      <c r="G199" s="3"/>
      <c r="H199" s="3"/>
      <c r="I199" s="3"/>
      <c r="J199" s="3"/>
    </row>
    <row r="200" spans="1:10" s="21" customFormat="1">
      <c r="A200" s="37"/>
      <c r="F200" s="3"/>
      <c r="G200" s="3"/>
      <c r="H200" s="3"/>
      <c r="I200" s="3"/>
      <c r="J200" s="3"/>
    </row>
    <row r="201" spans="1:10" s="21" customFormat="1">
      <c r="A201" s="37"/>
      <c r="F201" s="3"/>
      <c r="G201" s="3"/>
      <c r="H201" s="3"/>
      <c r="I201" s="3"/>
      <c r="J201" s="3"/>
    </row>
    <row r="202" spans="1:10" s="21" customFormat="1">
      <c r="A202" s="37"/>
      <c r="F202" s="3"/>
      <c r="G202" s="3"/>
      <c r="H202" s="3"/>
      <c r="I202" s="3"/>
      <c r="J202" s="3"/>
    </row>
    <row r="203" spans="1:10" s="21" customFormat="1">
      <c r="A203" s="37"/>
      <c r="F203" s="3"/>
      <c r="G203" s="3"/>
      <c r="H203" s="3"/>
      <c r="I203" s="3"/>
      <c r="J203" s="3"/>
    </row>
    <row r="204" spans="1:10" s="21" customFormat="1">
      <c r="A204" s="37"/>
      <c r="F204" s="3"/>
      <c r="G204" s="3"/>
      <c r="H204" s="3"/>
      <c r="I204" s="3"/>
      <c r="J204" s="3"/>
    </row>
    <row r="205" spans="1:10" s="21" customFormat="1">
      <c r="A205" s="37"/>
      <c r="F205" s="3"/>
      <c r="G205" s="3"/>
      <c r="H205" s="3"/>
      <c r="I205" s="3"/>
      <c r="J205" s="3"/>
    </row>
    <row r="206" spans="1:10" s="21" customFormat="1">
      <c r="A206" s="37"/>
      <c r="F206" s="3"/>
      <c r="G206" s="3"/>
      <c r="H206" s="3"/>
      <c r="I206" s="3"/>
      <c r="J206" s="3"/>
    </row>
    <row r="207" spans="1:10" s="21" customFormat="1">
      <c r="A207" s="37"/>
      <c r="F207" s="3"/>
      <c r="G207" s="3"/>
      <c r="H207" s="3"/>
      <c r="I207" s="3"/>
      <c r="J207" s="3"/>
    </row>
    <row r="208" spans="1:10" s="21" customFormat="1">
      <c r="A208" s="37"/>
      <c r="F208" s="3"/>
      <c r="G208" s="3"/>
      <c r="H208" s="3"/>
      <c r="I208" s="3"/>
      <c r="J208" s="3"/>
    </row>
    <row r="209" spans="1:10" s="21" customFormat="1">
      <c r="A209" s="37"/>
      <c r="F209" s="3"/>
      <c r="G209" s="3"/>
      <c r="H209" s="3"/>
      <c r="I209" s="3"/>
      <c r="J209" s="3"/>
    </row>
    <row r="210" spans="1:10" s="21" customFormat="1">
      <c r="A210" s="37"/>
      <c r="F210" s="3"/>
      <c r="G210" s="3"/>
      <c r="H210" s="3"/>
      <c r="I210" s="3"/>
      <c r="J210" s="3"/>
    </row>
    <row r="211" spans="1:10" s="21" customFormat="1">
      <c r="A211" s="37"/>
      <c r="F211" s="3"/>
      <c r="G211" s="3"/>
      <c r="H211" s="3"/>
      <c r="I211" s="3"/>
      <c r="J211" s="3"/>
    </row>
  </sheetData>
  <mergeCells count="19">
    <mergeCell ref="A1:J1"/>
    <mergeCell ref="C42:F42"/>
    <mergeCell ref="H42:J42"/>
    <mergeCell ref="A5:A6"/>
    <mergeCell ref="B5:B6"/>
    <mergeCell ref="F5:F6"/>
    <mergeCell ref="G5:J5"/>
    <mergeCell ref="E5:E6"/>
    <mergeCell ref="C41:F41"/>
    <mergeCell ref="H41:J41"/>
    <mergeCell ref="A39:J39"/>
    <mergeCell ref="A8:J8"/>
    <mergeCell ref="C5:C6"/>
    <mergeCell ref="A32:J32"/>
    <mergeCell ref="A24:J24"/>
    <mergeCell ref="D5:D6"/>
    <mergeCell ref="A3:J3"/>
    <mergeCell ref="A2:J2"/>
    <mergeCell ref="A4:J4"/>
  </mergeCells>
  <phoneticPr fontId="3" type="noConversion"/>
  <pageMargins left="0.31496062992125984" right="0.11811023622047245" top="0.55118110236220474" bottom="0.15748031496062992" header="0.31496062992125984" footer="0.31496062992125984"/>
  <pageSetup paperSize="9" scale="65" orientation="portrait" verticalDpi="300" r:id="rId1"/>
  <headerFooter alignWithMargins="0">
    <oddHeader xml:space="preserve">&amp;C&amp;"Times New Roman,обычный"&amp;14&amp;R&amp;"Times New Roman,обычный"&amp;14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5"/>
  <sheetViews>
    <sheetView view="pageBreakPreview" topLeftCell="A88" zoomScale="55" zoomScaleNormal="80" zoomScaleSheetLayoutView="55" workbookViewId="0">
      <selection activeCell="D108" sqref="D108"/>
    </sheetView>
  </sheetViews>
  <sheetFormatPr defaultRowHeight="18.75" outlineLevelCol="1"/>
  <cols>
    <col min="1" max="1" width="46.5703125" style="244" customWidth="1"/>
    <col min="2" max="2" width="10.42578125" style="21" customWidth="1"/>
    <col min="3" max="3" width="11.85546875" style="21" customWidth="1"/>
    <col min="4" max="4" width="11.85546875" style="21" customWidth="1" outlineLevel="1"/>
    <col min="5" max="5" width="13.7109375" style="244" customWidth="1" outlineLevel="1"/>
    <col min="6" max="6" width="13.42578125" style="244" customWidth="1"/>
    <col min="7" max="7" width="34" style="244" customWidth="1"/>
    <col min="8" max="8" width="12.28515625" style="501" hidden="1" customWidth="1" outlineLevel="1"/>
    <col min="9" max="9" width="24.5703125" style="244" hidden="1" customWidth="1" outlineLevel="1"/>
    <col min="10" max="11" width="14" style="244" hidden="1" customWidth="1" outlineLevel="1"/>
    <col min="12" max="12" width="16.85546875" style="244" hidden="1" customWidth="1" outlineLevel="1"/>
    <col min="13" max="13" width="9.140625" hidden="1" customWidth="1" outlineLevel="1"/>
    <col min="14" max="14" width="9.140625" customWidth="1" collapsed="1"/>
    <col min="15" max="21" width="9.140625" customWidth="1"/>
  </cols>
  <sheetData>
    <row r="1" spans="1:12" ht="20.25" customHeight="1">
      <c r="A1" s="575" t="s">
        <v>549</v>
      </c>
      <c r="B1" s="575"/>
      <c r="C1" s="575"/>
      <c r="D1" s="575"/>
      <c r="E1" s="575"/>
      <c r="F1" s="575"/>
      <c r="G1" s="575"/>
      <c r="H1" s="500"/>
      <c r="I1" s="296"/>
      <c r="J1" s="296"/>
      <c r="K1" s="296"/>
      <c r="L1" s="296"/>
    </row>
    <row r="2" spans="1:12" ht="15.75">
      <c r="A2" s="152"/>
      <c r="B2" s="73"/>
      <c r="C2" s="152"/>
      <c r="D2" s="152"/>
      <c r="E2" s="152"/>
      <c r="F2" s="152"/>
      <c r="G2" s="152"/>
      <c r="H2" s="152"/>
      <c r="I2"/>
      <c r="J2" s="152"/>
      <c r="K2" s="152"/>
      <c r="L2" s="152"/>
    </row>
    <row r="3" spans="1:12" ht="15.75" customHeight="1">
      <c r="A3" s="561" t="s">
        <v>186</v>
      </c>
      <c r="B3" s="568" t="s">
        <v>5</v>
      </c>
      <c r="C3" s="568" t="s">
        <v>416</v>
      </c>
      <c r="D3" s="568"/>
      <c r="E3" s="568"/>
      <c r="F3" s="568"/>
      <c r="G3" s="582" t="s">
        <v>421</v>
      </c>
      <c r="H3" s="504"/>
      <c r="I3"/>
      <c r="J3" s="262" t="s">
        <v>271</v>
      </c>
      <c r="K3" s="263"/>
      <c r="L3" s="263"/>
    </row>
    <row r="4" spans="1:12" ht="38.25" customHeight="1">
      <c r="A4" s="561"/>
      <c r="B4" s="568"/>
      <c r="C4" s="264" t="s">
        <v>414</v>
      </c>
      <c r="D4" s="264" t="s">
        <v>417</v>
      </c>
      <c r="E4" s="264" t="s">
        <v>554</v>
      </c>
      <c r="F4" s="264" t="s">
        <v>420</v>
      </c>
      <c r="G4" s="583"/>
      <c r="H4" s="504"/>
      <c r="I4"/>
      <c r="J4" s="224" t="s">
        <v>145</v>
      </c>
      <c r="K4" s="224" t="s">
        <v>146</v>
      </c>
      <c r="L4" s="224" t="s">
        <v>55</v>
      </c>
    </row>
    <row r="5" spans="1:12" ht="15.75">
      <c r="A5" s="113">
        <v>1</v>
      </c>
      <c r="B5" s="240">
        <v>2</v>
      </c>
      <c r="C5" s="240">
        <v>4</v>
      </c>
      <c r="D5" s="240">
        <v>5</v>
      </c>
      <c r="E5" s="240">
        <v>6</v>
      </c>
      <c r="F5" s="240">
        <v>7</v>
      </c>
      <c r="G5" s="240"/>
      <c r="H5" s="73"/>
      <c r="I5"/>
      <c r="J5" s="240">
        <v>8</v>
      </c>
      <c r="K5" s="240">
        <v>9</v>
      </c>
      <c r="L5" s="240">
        <v>10</v>
      </c>
    </row>
    <row r="6" spans="1:12">
      <c r="A6" s="577" t="s">
        <v>229</v>
      </c>
      <c r="B6" s="577"/>
      <c r="C6" s="577"/>
      <c r="D6" s="577"/>
      <c r="E6" s="577"/>
      <c r="F6" s="577"/>
      <c r="G6" s="577"/>
      <c r="H6" s="41"/>
      <c r="I6"/>
      <c r="J6" s="281"/>
      <c r="K6" s="281"/>
      <c r="L6" s="282"/>
    </row>
    <row r="7" spans="1:12" ht="39" customHeight="1">
      <c r="A7" s="230" t="s">
        <v>380</v>
      </c>
      <c r="B7" s="231">
        <v>1000</v>
      </c>
      <c r="C7" s="82">
        <f t="shared" ref="C7:L7" si="0">C8+C10</f>
        <v>19544.599999999999</v>
      </c>
      <c r="D7" s="464">
        <f>D8+D10</f>
        <v>20170.5</v>
      </c>
      <c r="E7" s="82">
        <f>D7-C7</f>
        <v>625.90000000000146</v>
      </c>
      <c r="F7" s="217">
        <f>D7/C7*100</f>
        <v>103.20241908250874</v>
      </c>
      <c r="G7" s="579" t="s">
        <v>423</v>
      </c>
      <c r="H7" s="505"/>
      <c r="I7"/>
      <c r="J7" s="217">
        <f t="shared" si="0"/>
        <v>3977</v>
      </c>
      <c r="K7" s="217">
        <f t="shared" si="0"/>
        <v>3933</v>
      </c>
      <c r="L7" s="217">
        <f t="shared" si="0"/>
        <v>3953.1</v>
      </c>
    </row>
    <row r="8" spans="1:12">
      <c r="A8" s="266" t="s">
        <v>232</v>
      </c>
      <c r="B8" s="240">
        <v>1010</v>
      </c>
      <c r="C8" s="98">
        <f>'1.1.Фінансовий результат'!F8</f>
        <v>14346.3</v>
      </c>
      <c r="D8" s="463">
        <v>15249.5</v>
      </c>
      <c r="E8" s="245">
        <f>D8-C8</f>
        <v>903.20000000000073</v>
      </c>
      <c r="F8" s="98">
        <f t="shared" ref="F8:F71" si="1">D8/C8*100</f>
        <v>106.29569993656902</v>
      </c>
      <c r="G8" s="580"/>
      <c r="H8" s="505"/>
      <c r="I8"/>
      <c r="J8" s="217">
        <v>2734</v>
      </c>
      <c r="K8" s="217">
        <v>2690</v>
      </c>
      <c r="L8" s="217">
        <v>2710</v>
      </c>
    </row>
    <row r="9" spans="1:12">
      <c r="A9" s="266" t="s">
        <v>233</v>
      </c>
      <c r="B9" s="240">
        <v>1011</v>
      </c>
      <c r="C9" s="527">
        <f>'1.1.Фінансовий результат'!F9</f>
        <v>0</v>
      </c>
      <c r="D9" s="528">
        <v>0</v>
      </c>
      <c r="E9" s="245"/>
      <c r="F9" s="237"/>
      <c r="G9" s="581"/>
      <c r="H9" s="505"/>
      <c r="I9"/>
      <c r="J9" s="231"/>
      <c r="K9" s="231"/>
      <c r="L9" s="231"/>
    </row>
    <row r="10" spans="1:12">
      <c r="A10" s="266" t="s">
        <v>234</v>
      </c>
      <c r="B10" s="240">
        <v>1012</v>
      </c>
      <c r="C10" s="98">
        <f>'1.1.Фінансовий результат'!F10</f>
        <v>5198.3</v>
      </c>
      <c r="D10" s="463">
        <v>4921</v>
      </c>
      <c r="E10" s="245">
        <f>D10-C10</f>
        <v>-277.30000000000018</v>
      </c>
      <c r="F10" s="98">
        <f>D10/C10*100</f>
        <v>94.665563741992571</v>
      </c>
      <c r="G10" s="230"/>
      <c r="H10" s="41"/>
      <c r="I10"/>
      <c r="J10" s="217">
        <v>1243</v>
      </c>
      <c r="K10" s="217">
        <v>1243</v>
      </c>
      <c r="L10" s="217">
        <v>1243.0999999999999</v>
      </c>
    </row>
    <row r="11" spans="1:12">
      <c r="A11" s="219" t="s">
        <v>230</v>
      </c>
      <c r="B11" s="240">
        <v>1020</v>
      </c>
      <c r="C11" s="217">
        <f>'1.1.Фінансовий результат'!F11</f>
        <v>569.21</v>
      </c>
      <c r="D11" s="464">
        <v>533.5</v>
      </c>
      <c r="E11" s="82">
        <f t="shared" ref="E11:E72" si="2">D11-C11</f>
        <v>-35.710000000000036</v>
      </c>
      <c r="F11" s="217">
        <f t="shared" si="1"/>
        <v>93.726392719734363</v>
      </c>
      <c r="G11" s="230"/>
      <c r="H11" s="41"/>
      <c r="I11"/>
      <c r="J11" s="217">
        <v>125</v>
      </c>
      <c r="K11" s="217">
        <v>70</v>
      </c>
      <c r="L11" s="217">
        <v>94.4</v>
      </c>
    </row>
    <row r="12" spans="1:12" ht="37.5">
      <c r="A12" s="266" t="s">
        <v>231</v>
      </c>
      <c r="B12" s="240">
        <v>1030</v>
      </c>
      <c r="C12" s="527">
        <f>'1.1.Фінансовий результат'!F12</f>
        <v>0</v>
      </c>
      <c r="D12" s="427"/>
      <c r="E12" s="245"/>
      <c r="F12" s="67"/>
      <c r="G12" s="230"/>
      <c r="H12" s="41"/>
      <c r="I12"/>
      <c r="J12" s="114"/>
      <c r="K12" s="114"/>
      <c r="L12" s="114"/>
    </row>
    <row r="13" spans="1:12" ht="56.25">
      <c r="A13" s="230" t="s">
        <v>87</v>
      </c>
      <c r="B13" s="279">
        <v>1040</v>
      </c>
      <c r="C13" s="82">
        <f>C7-C11-C12</f>
        <v>18975.39</v>
      </c>
      <c r="D13" s="464">
        <f t="shared" ref="D13:K13" si="3">D7-D11-D12</f>
        <v>19637</v>
      </c>
      <c r="E13" s="82">
        <f t="shared" si="2"/>
        <v>661.61000000000058</v>
      </c>
      <c r="F13" s="82">
        <f t="shared" si="1"/>
        <v>103.4866740551841</v>
      </c>
      <c r="G13" s="57"/>
      <c r="H13" s="72"/>
      <c r="I13"/>
      <c r="J13" s="82">
        <f t="shared" si="3"/>
        <v>3852</v>
      </c>
      <c r="K13" s="82">
        <f t="shared" si="3"/>
        <v>3863</v>
      </c>
      <c r="L13" s="82">
        <f>L7-L11-L12</f>
        <v>3858.7</v>
      </c>
    </row>
    <row r="14" spans="1:12" ht="56.25">
      <c r="A14" s="230" t="s">
        <v>101</v>
      </c>
      <c r="B14" s="153">
        <v>1050</v>
      </c>
      <c r="C14" s="172">
        <f>C15+C16+C17+C18+C19+C21+C22</f>
        <v>15285.764000000003</v>
      </c>
      <c r="D14" s="172">
        <f>D15+D16+D17+D18+D19+D20+D21+D22</f>
        <v>16139</v>
      </c>
      <c r="E14" s="172">
        <f t="shared" si="2"/>
        <v>853.23599999999715</v>
      </c>
      <c r="F14" s="172">
        <f t="shared" si="1"/>
        <v>105.58189960279381</v>
      </c>
      <c r="G14" s="290" t="s">
        <v>556</v>
      </c>
      <c r="H14" s="506"/>
      <c r="I14"/>
      <c r="J14" s="172">
        <f t="shared" ref="J14:L14" si="4">J15+J16+J17+J18+J19+J21+J22</f>
        <v>3148.924</v>
      </c>
      <c r="K14" s="172">
        <f>K15+K16+K17+K18+K19+K21+K22</f>
        <v>3158.23</v>
      </c>
      <c r="L14" s="172">
        <f t="shared" si="4"/>
        <v>3106.4679999999998</v>
      </c>
    </row>
    <row r="15" spans="1:12" ht="37.5">
      <c r="A15" s="8" t="s">
        <v>202</v>
      </c>
      <c r="B15" s="111">
        <v>1051</v>
      </c>
      <c r="C15" s="98">
        <f>'1.1.Фінансовий результат'!F15</f>
        <v>2577.5</v>
      </c>
      <c r="D15" s="462">
        <v>3620.8</v>
      </c>
      <c r="E15" s="245">
        <f t="shared" si="2"/>
        <v>1043.3000000000002</v>
      </c>
      <c r="F15" s="245">
        <f t="shared" si="1"/>
        <v>140.47720659553832</v>
      </c>
      <c r="G15" s="291" t="s">
        <v>553</v>
      </c>
      <c r="H15" s="507"/>
      <c r="I15"/>
      <c r="J15" s="245">
        <v>500</v>
      </c>
      <c r="K15" s="245">
        <v>599.79999999999995</v>
      </c>
      <c r="L15" s="245">
        <v>580</v>
      </c>
    </row>
    <row r="16" spans="1:12" ht="29.25" customHeight="1">
      <c r="A16" s="8" t="s">
        <v>48</v>
      </c>
      <c r="B16" s="111">
        <v>1052</v>
      </c>
      <c r="C16" s="98">
        <f>'1.1.Фінансовий результат'!F16</f>
        <v>2479</v>
      </c>
      <c r="D16" s="462">
        <v>2452.5</v>
      </c>
      <c r="E16" s="245">
        <f t="shared" si="2"/>
        <v>-26.5</v>
      </c>
      <c r="F16" s="245">
        <f t="shared" si="1"/>
        <v>98.931020572811619</v>
      </c>
      <c r="G16" s="529"/>
      <c r="I16" s="508" t="s">
        <v>557</v>
      </c>
      <c r="J16" s="245">
        <v>508</v>
      </c>
      <c r="K16" s="245">
        <v>640</v>
      </c>
      <c r="L16" s="245">
        <v>600</v>
      </c>
    </row>
    <row r="17" spans="1:12" ht="39.75" customHeight="1">
      <c r="A17" s="8" t="s">
        <v>47</v>
      </c>
      <c r="B17" s="111">
        <v>1053</v>
      </c>
      <c r="C17" s="98">
        <f>'1.1.Фінансовий результат'!F17</f>
        <v>146.1</v>
      </c>
      <c r="D17" s="462">
        <v>103.4</v>
      </c>
      <c r="E17" s="245">
        <f t="shared" si="2"/>
        <v>-42.699999999999989</v>
      </c>
      <c r="F17" s="245">
        <f>D17/C17*100</f>
        <v>70.773442847364819</v>
      </c>
      <c r="G17" s="291" t="s">
        <v>544</v>
      </c>
      <c r="H17" s="507"/>
      <c r="I17"/>
      <c r="J17" s="245">
        <v>17</v>
      </c>
      <c r="K17" s="245">
        <v>15.9</v>
      </c>
      <c r="L17" s="245">
        <v>27.1</v>
      </c>
    </row>
    <row r="18" spans="1:12">
      <c r="A18" s="8" t="s">
        <v>23</v>
      </c>
      <c r="B18" s="111">
        <v>1054</v>
      </c>
      <c r="C18" s="98">
        <f>'1.1.Фінансовий результат'!F18</f>
        <v>7496.2000000000007</v>
      </c>
      <c r="D18" s="463">
        <v>7233.4</v>
      </c>
      <c r="E18" s="265">
        <f t="shared" si="2"/>
        <v>-262.80000000000109</v>
      </c>
      <c r="F18" s="245">
        <f t="shared" si="1"/>
        <v>96.494223740028261</v>
      </c>
      <c r="G18" s="584" t="s">
        <v>424</v>
      </c>
      <c r="H18" s="509"/>
      <c r="I18"/>
      <c r="J18" s="245">
        <v>1384.2</v>
      </c>
      <c r="K18" s="245">
        <v>1446.5</v>
      </c>
      <c r="L18" s="245">
        <v>1469.4</v>
      </c>
    </row>
    <row r="19" spans="1:12" s="269" customFormat="1" ht="24.75" customHeight="1">
      <c r="A19" s="8" t="s">
        <v>24</v>
      </c>
      <c r="B19" s="111">
        <v>1055</v>
      </c>
      <c r="C19" s="98">
        <f>'1.1.Фінансовий результат'!F19</f>
        <v>1649.1640000000002</v>
      </c>
      <c r="D19" s="463">
        <v>1544.1</v>
      </c>
      <c r="E19" s="265">
        <f t="shared" si="2"/>
        <v>-105.06400000000031</v>
      </c>
      <c r="F19" s="245">
        <f t="shared" si="1"/>
        <v>93.629257005367549</v>
      </c>
      <c r="G19" s="585"/>
      <c r="H19" s="509"/>
      <c r="I19"/>
      <c r="J19" s="245">
        <f t="shared" ref="J19:L19" si="5">J18*0.22</f>
        <v>304.524</v>
      </c>
      <c r="K19" s="245">
        <f t="shared" si="5"/>
        <v>318.23</v>
      </c>
      <c r="L19" s="245">
        <f t="shared" si="5"/>
        <v>323.26800000000003</v>
      </c>
    </row>
    <row r="20" spans="1:12" s="269" customFormat="1" ht="63">
      <c r="A20" s="67" t="s">
        <v>182</v>
      </c>
      <c r="B20" s="111">
        <v>1056</v>
      </c>
      <c r="C20" s="98">
        <f>'1.1.Фінансовий результат'!F20</f>
        <v>20.100000000000001</v>
      </c>
      <c r="D20" s="428"/>
      <c r="E20" s="265">
        <f t="shared" si="2"/>
        <v>-20.100000000000001</v>
      </c>
      <c r="F20" s="477">
        <f t="shared" si="1"/>
        <v>0</v>
      </c>
      <c r="G20" s="291"/>
      <c r="H20" s="507"/>
      <c r="I20"/>
      <c r="J20" s="94"/>
      <c r="K20" s="94"/>
      <c r="L20" s="94"/>
    </row>
    <row r="21" spans="1:12" s="269" customFormat="1" ht="37.5">
      <c r="A21" s="8" t="s">
        <v>46</v>
      </c>
      <c r="B21" s="111">
        <v>1057</v>
      </c>
      <c r="C21" s="98">
        <f>'1.1.Фінансовий результат'!F21</f>
        <v>232.2</v>
      </c>
      <c r="D21" s="463">
        <v>201.2</v>
      </c>
      <c r="E21" s="245">
        <f t="shared" si="2"/>
        <v>-31</v>
      </c>
      <c r="F21" s="245">
        <f t="shared" si="1"/>
        <v>86.649440137812235</v>
      </c>
      <c r="G21" s="293"/>
      <c r="H21" s="510"/>
      <c r="I21"/>
      <c r="J21" s="245">
        <v>35.9</v>
      </c>
      <c r="K21" s="245">
        <v>48.5</v>
      </c>
      <c r="L21" s="245">
        <v>48.5</v>
      </c>
    </row>
    <row r="22" spans="1:12" s="269" customFormat="1" ht="24.75" customHeight="1">
      <c r="A22" s="8" t="s">
        <v>290</v>
      </c>
      <c r="B22" s="111">
        <v>1058</v>
      </c>
      <c r="C22" s="94">
        <f t="shared" ref="C22:L22" si="6">C23+C24+C25+C26+C27+C28</f>
        <v>705.59999999999991</v>
      </c>
      <c r="D22" s="461">
        <f>D23+D24+D25+D26+D27+D28</f>
        <v>983.60000000000014</v>
      </c>
      <c r="E22" s="94">
        <f t="shared" si="2"/>
        <v>278.00000000000023</v>
      </c>
      <c r="F22" s="94">
        <f t="shared" si="1"/>
        <v>139.39909297052156</v>
      </c>
      <c r="G22" s="291"/>
      <c r="H22" s="507"/>
      <c r="I22"/>
      <c r="J22" s="94">
        <f t="shared" si="6"/>
        <v>399.29999999999995</v>
      </c>
      <c r="K22" s="94">
        <f t="shared" si="6"/>
        <v>89.3</v>
      </c>
      <c r="L22" s="94">
        <f t="shared" si="6"/>
        <v>58.2</v>
      </c>
    </row>
    <row r="23" spans="1:12" s="272" customFormat="1">
      <c r="A23" s="274" t="s">
        <v>291</v>
      </c>
      <c r="B23" s="271" t="s">
        <v>339</v>
      </c>
      <c r="C23" s="267">
        <f>'1.1.Фінансовий результат'!F23</f>
        <v>171.89999999999998</v>
      </c>
      <c r="D23" s="268">
        <v>470</v>
      </c>
      <c r="E23" s="268">
        <f t="shared" si="2"/>
        <v>298.10000000000002</v>
      </c>
      <c r="F23" s="268">
        <f t="shared" si="1"/>
        <v>273.41477603257715</v>
      </c>
      <c r="G23" s="292" t="s">
        <v>425</v>
      </c>
      <c r="H23" s="511"/>
      <c r="I23"/>
      <c r="J23" s="268">
        <v>58.1</v>
      </c>
      <c r="K23" s="268">
        <v>59.3</v>
      </c>
      <c r="L23" s="268">
        <v>38.700000000000003</v>
      </c>
    </row>
    <row r="24" spans="1:12" s="272" customFormat="1">
      <c r="A24" s="274" t="s">
        <v>292</v>
      </c>
      <c r="B24" s="271" t="s">
        <v>340</v>
      </c>
      <c r="C24" s="267">
        <f>'1.1.Фінансовий результат'!F24</f>
        <v>7.1999999999999993</v>
      </c>
      <c r="D24" s="268">
        <v>20.2</v>
      </c>
      <c r="E24" s="268">
        <f t="shared" si="2"/>
        <v>13</v>
      </c>
      <c r="F24" s="268">
        <f t="shared" si="1"/>
        <v>280.5555555555556</v>
      </c>
      <c r="G24" s="292" t="s">
        <v>425</v>
      </c>
      <c r="H24" s="511"/>
      <c r="I24"/>
      <c r="J24" s="268">
        <v>1.4</v>
      </c>
      <c r="K24" s="268">
        <v>1.2</v>
      </c>
      <c r="L24" s="268">
        <v>2.6</v>
      </c>
    </row>
    <row r="25" spans="1:12" s="272" customFormat="1">
      <c r="A25" s="274" t="s">
        <v>293</v>
      </c>
      <c r="B25" s="271" t="s">
        <v>341</v>
      </c>
      <c r="C25" s="267">
        <f>'1.1.Фінансовий результат'!F25</f>
        <v>311.5</v>
      </c>
      <c r="D25" s="471">
        <v>315</v>
      </c>
      <c r="E25" s="268">
        <f t="shared" si="2"/>
        <v>3.5</v>
      </c>
      <c r="F25" s="268">
        <f t="shared" si="1"/>
        <v>101.12359550561798</v>
      </c>
      <c r="G25" s="291"/>
      <c r="H25" s="507"/>
      <c r="I25"/>
      <c r="J25" s="268">
        <v>300</v>
      </c>
      <c r="K25" s="268">
        <v>0</v>
      </c>
      <c r="L25" s="268">
        <v>0</v>
      </c>
    </row>
    <row r="26" spans="1:12" s="272" customFormat="1" ht="62.25" customHeight="1">
      <c r="A26" s="274" t="s">
        <v>294</v>
      </c>
      <c r="B26" s="271" t="s">
        <v>342</v>
      </c>
      <c r="C26" s="267">
        <f>'1.1.Фінансовий результат'!F26</f>
        <v>72.199999999999989</v>
      </c>
      <c r="D26" s="268">
        <v>50</v>
      </c>
      <c r="E26" s="268">
        <f t="shared" si="2"/>
        <v>-22.199999999999989</v>
      </c>
      <c r="F26" s="268">
        <f t="shared" si="1"/>
        <v>69.252077562326889</v>
      </c>
      <c r="G26" s="294" t="s">
        <v>558</v>
      </c>
      <c r="H26" s="512"/>
      <c r="I26" s="470"/>
      <c r="J26" s="268">
        <v>30.4</v>
      </c>
      <c r="K26" s="268">
        <v>23.8</v>
      </c>
      <c r="L26" s="268">
        <v>1</v>
      </c>
    </row>
    <row r="27" spans="1:12" s="272" customFormat="1" ht="28.5" customHeight="1">
      <c r="A27" s="274" t="s">
        <v>295</v>
      </c>
      <c r="B27" s="271" t="s">
        <v>343</v>
      </c>
      <c r="C27" s="267">
        <f>'1.1.Фінансовий результат'!F27</f>
        <v>36.5</v>
      </c>
      <c r="D27" s="268">
        <v>32.200000000000003</v>
      </c>
      <c r="E27" s="268">
        <f t="shared" si="2"/>
        <v>-4.2999999999999972</v>
      </c>
      <c r="F27" s="268">
        <f t="shared" si="1"/>
        <v>88.219178082191789</v>
      </c>
      <c r="G27" s="292" t="s">
        <v>555</v>
      </c>
      <c r="H27" s="511"/>
      <c r="I27"/>
      <c r="J27" s="268">
        <v>0.4</v>
      </c>
      <c r="K27" s="268">
        <v>0</v>
      </c>
      <c r="L27" s="268">
        <v>7.2</v>
      </c>
    </row>
    <row r="28" spans="1:12" s="272" customFormat="1">
      <c r="A28" s="274" t="s">
        <v>247</v>
      </c>
      <c r="B28" s="271" t="s">
        <v>344</v>
      </c>
      <c r="C28" s="267">
        <f>'1.1.Фінансовий результат'!F28</f>
        <v>106.3</v>
      </c>
      <c r="D28" s="268">
        <v>96.2</v>
      </c>
      <c r="E28" s="268">
        <f t="shared" si="2"/>
        <v>-10.099999999999994</v>
      </c>
      <c r="F28" s="268">
        <f t="shared" si="1"/>
        <v>90.498588899341499</v>
      </c>
      <c r="G28" s="286" t="s">
        <v>365</v>
      </c>
      <c r="H28" s="513"/>
      <c r="I28"/>
      <c r="J28" s="268">
        <v>9</v>
      </c>
      <c r="K28" s="268">
        <v>5</v>
      </c>
      <c r="L28" s="268">
        <v>8.6999999999999993</v>
      </c>
    </row>
    <row r="29" spans="1:12">
      <c r="A29" s="75" t="s">
        <v>307</v>
      </c>
      <c r="B29" s="155">
        <v>1060</v>
      </c>
      <c r="C29" s="170">
        <f t="shared" ref="C29:L29" si="7">C13-C14</f>
        <v>3689.6259999999966</v>
      </c>
      <c r="D29" s="468">
        <f t="shared" si="7"/>
        <v>3498</v>
      </c>
      <c r="E29" s="170">
        <f t="shared" si="2"/>
        <v>-191.62599999999657</v>
      </c>
      <c r="F29" s="170">
        <f t="shared" si="1"/>
        <v>94.806357067084932</v>
      </c>
      <c r="G29" s="460"/>
      <c r="H29" s="514"/>
      <c r="I29"/>
      <c r="J29" s="170">
        <f t="shared" si="7"/>
        <v>703.07600000000002</v>
      </c>
      <c r="K29" s="170">
        <f t="shared" si="7"/>
        <v>704.77</v>
      </c>
      <c r="L29" s="170">
        <f t="shared" si="7"/>
        <v>752.23199999999997</v>
      </c>
    </row>
    <row r="30" spans="1:12">
      <c r="A30" s="114"/>
      <c r="B30" s="153">
        <v>1070</v>
      </c>
      <c r="C30" s="154"/>
      <c r="D30" s="469"/>
      <c r="E30" s="154"/>
      <c r="F30" s="154"/>
      <c r="G30" s="288"/>
      <c r="H30" s="515"/>
      <c r="I30"/>
      <c r="J30" s="154"/>
      <c r="K30" s="154"/>
      <c r="L30" s="154"/>
    </row>
    <row r="31" spans="1:12" ht="41.25" customHeight="1">
      <c r="A31" s="230" t="s">
        <v>171</v>
      </c>
      <c r="B31" s="153">
        <v>1080</v>
      </c>
      <c r="C31" s="123">
        <f>C32+C36+C38+C39+C40+C41+C43+C53+C51</f>
        <v>2769.8324799999996</v>
      </c>
      <c r="D31" s="467">
        <f>D32+D38+D39+D40+D41+D43+D53+D36+D51</f>
        <v>2578.9670535999999</v>
      </c>
      <c r="E31" s="123">
        <f t="shared" si="2"/>
        <v>-190.86542639999971</v>
      </c>
      <c r="F31" s="123">
        <f t="shared" si="1"/>
        <v>93.109134657847619</v>
      </c>
      <c r="G31" s="294" t="s">
        <v>560</v>
      </c>
      <c r="H31" s="72"/>
      <c r="I31"/>
      <c r="J31" s="123">
        <f>J32+J38+J39+J40+J41+J43+J53</f>
        <v>462.00400000000002</v>
      </c>
      <c r="K31" s="123">
        <f>K32+K38+K39+K40+K41+K43+K53+K51</f>
        <v>474.8060000000001</v>
      </c>
      <c r="L31" s="123">
        <f>L32+L38+L39+L40+L41+L43+L53+L36</f>
        <v>487.65000000000003</v>
      </c>
    </row>
    <row r="32" spans="1:12" s="269" customFormat="1" ht="37.5">
      <c r="A32" s="8" t="s">
        <v>86</v>
      </c>
      <c r="B32" s="111">
        <v>1081</v>
      </c>
      <c r="C32" s="148">
        <f>'1.1.Фінансовий результат'!F32</f>
        <v>254.00521999999998</v>
      </c>
      <c r="D32" s="446">
        <f>'5. Інша інформація'!E63</f>
        <v>190.96705360000001</v>
      </c>
      <c r="E32" s="94">
        <f t="shared" si="2"/>
        <v>-63.038166399999966</v>
      </c>
      <c r="F32" s="94">
        <f t="shared" si="1"/>
        <v>75.182334284311182</v>
      </c>
      <c r="G32" s="265"/>
      <c r="H32" s="516">
        <f>100-F32</f>
        <v>24.817665715688818</v>
      </c>
      <c r="I32"/>
      <c r="J32" s="94">
        <v>40</v>
      </c>
      <c r="K32" s="94">
        <v>40</v>
      </c>
      <c r="L32" s="94">
        <v>40</v>
      </c>
    </row>
    <row r="33" spans="1:12" s="269" customFormat="1" ht="37.5">
      <c r="A33" s="8" t="s">
        <v>161</v>
      </c>
      <c r="B33" s="111">
        <v>1082</v>
      </c>
      <c r="C33" s="530">
        <f>'1.1.Фінансовий результат'!F33</f>
        <v>0</v>
      </c>
      <c r="D33" s="486">
        <v>0</v>
      </c>
      <c r="E33" s="486"/>
      <c r="F33" s="531"/>
      <c r="G33" s="289"/>
      <c r="H33" s="516"/>
      <c r="I33"/>
      <c r="J33" s="268"/>
      <c r="K33" s="268"/>
      <c r="L33" s="268"/>
    </row>
    <row r="34" spans="1:12" s="269" customFormat="1">
      <c r="A34" s="8" t="s">
        <v>45</v>
      </c>
      <c r="B34" s="111">
        <v>1083</v>
      </c>
      <c r="C34" s="530">
        <f>'1.1.Фінансовий результат'!F34</f>
        <v>0</v>
      </c>
      <c r="D34" s="486">
        <v>0</v>
      </c>
      <c r="E34" s="486"/>
      <c r="F34" s="531"/>
      <c r="G34" s="289"/>
      <c r="H34" s="516"/>
      <c r="I34"/>
      <c r="J34" s="268"/>
      <c r="K34" s="268"/>
      <c r="L34" s="268"/>
    </row>
    <row r="35" spans="1:12" s="269" customFormat="1">
      <c r="A35" s="8" t="s">
        <v>7</v>
      </c>
      <c r="B35" s="111">
        <v>1084</v>
      </c>
      <c r="C35" s="530">
        <f>'1.1.Фінансовий результат'!F35</f>
        <v>0</v>
      </c>
      <c r="D35" s="486">
        <v>0</v>
      </c>
      <c r="E35" s="486">
        <f t="shared" si="2"/>
        <v>0</v>
      </c>
      <c r="F35" s="486">
        <v>0</v>
      </c>
      <c r="G35" s="289"/>
      <c r="H35" s="516"/>
      <c r="I35"/>
      <c r="J35" s="268"/>
      <c r="K35" s="268"/>
      <c r="L35" s="268"/>
    </row>
    <row r="36" spans="1:12" s="269" customFormat="1">
      <c r="A36" s="8" t="s">
        <v>8</v>
      </c>
      <c r="B36" s="111">
        <v>1085</v>
      </c>
      <c r="C36" s="530">
        <f>'1.1.Фінансовий результат'!F36</f>
        <v>0</v>
      </c>
      <c r="D36" s="486">
        <v>0</v>
      </c>
      <c r="E36" s="486">
        <f t="shared" si="2"/>
        <v>0</v>
      </c>
      <c r="F36" s="486">
        <v>0</v>
      </c>
      <c r="G36" s="289"/>
      <c r="H36" s="516"/>
      <c r="I36"/>
      <c r="J36" s="94">
        <v>0</v>
      </c>
      <c r="K36" s="94">
        <v>0</v>
      </c>
      <c r="L36" s="94">
        <v>0</v>
      </c>
    </row>
    <row r="37" spans="1:12" s="269" customFormat="1">
      <c r="A37" s="8" t="s">
        <v>21</v>
      </c>
      <c r="B37" s="111">
        <v>1086</v>
      </c>
      <c r="C37" s="530">
        <f>'1.1.Фінансовий результат'!F37</f>
        <v>0</v>
      </c>
      <c r="D37" s="486">
        <v>0</v>
      </c>
      <c r="E37" s="486">
        <f t="shared" si="2"/>
        <v>0</v>
      </c>
      <c r="F37" s="486">
        <v>0</v>
      </c>
      <c r="G37" s="58"/>
      <c r="H37" s="372"/>
      <c r="I37"/>
      <c r="J37" s="94"/>
      <c r="K37" s="94"/>
      <c r="L37" s="94"/>
    </row>
    <row r="38" spans="1:12" s="269" customFormat="1">
      <c r="A38" s="8" t="s">
        <v>22</v>
      </c>
      <c r="B38" s="111">
        <v>1087</v>
      </c>
      <c r="C38" s="148">
        <f>'1.1.Фінансовий результат'!F38</f>
        <v>13.5</v>
      </c>
      <c r="D38" s="465">
        <v>13</v>
      </c>
      <c r="E38" s="94">
        <f t="shared" si="2"/>
        <v>-0.5</v>
      </c>
      <c r="F38" s="94">
        <f t="shared" si="1"/>
        <v>96.296296296296291</v>
      </c>
      <c r="G38" s="58"/>
      <c r="H38" s="372"/>
      <c r="I38"/>
      <c r="J38" s="94">
        <v>3.6</v>
      </c>
      <c r="K38" s="94">
        <v>3.6</v>
      </c>
      <c r="L38" s="94">
        <v>3.6</v>
      </c>
    </row>
    <row r="39" spans="1:12" s="269" customFormat="1">
      <c r="A39" s="8" t="s">
        <v>23</v>
      </c>
      <c r="B39" s="111">
        <v>1088</v>
      </c>
      <c r="C39" s="148">
        <f>'1.1.Фінансовий результат'!F39</f>
        <v>1940.2829999999999</v>
      </c>
      <c r="D39" s="446">
        <v>1849</v>
      </c>
      <c r="E39" s="268">
        <f t="shared" si="2"/>
        <v>-91.282999999999902</v>
      </c>
      <c r="F39" s="94">
        <f t="shared" si="1"/>
        <v>95.295377014590144</v>
      </c>
      <c r="G39" s="586" t="s">
        <v>545</v>
      </c>
      <c r="H39" s="517"/>
      <c r="I39"/>
      <c r="J39" s="94">
        <v>313.2</v>
      </c>
      <c r="K39" s="94">
        <v>327.3</v>
      </c>
      <c r="L39" s="94">
        <v>332.5</v>
      </c>
    </row>
    <row r="40" spans="1:12" s="269" customFormat="1" ht="21" customHeight="1">
      <c r="A40" s="8" t="s">
        <v>24</v>
      </c>
      <c r="B40" s="111">
        <v>1089</v>
      </c>
      <c r="C40" s="148">
        <f>'1.1.Фінансовий результат'!F40</f>
        <v>428.44425999999999</v>
      </c>
      <c r="D40" s="465">
        <v>409</v>
      </c>
      <c r="E40" s="268">
        <f t="shared" si="2"/>
        <v>-19.444259999999986</v>
      </c>
      <c r="F40" s="94">
        <f t="shared" si="1"/>
        <v>95.461659353307709</v>
      </c>
      <c r="G40" s="587"/>
      <c r="H40" s="517"/>
      <c r="I40"/>
      <c r="J40" s="94">
        <f t="shared" ref="J40:L40" si="8">J39*0.22</f>
        <v>68.903999999999996</v>
      </c>
      <c r="K40" s="94">
        <f t="shared" si="8"/>
        <v>72.006</v>
      </c>
      <c r="L40" s="94">
        <f t="shared" si="8"/>
        <v>73.150000000000006</v>
      </c>
    </row>
    <row r="41" spans="1:12" s="269" customFormat="1" ht="51.75" customHeight="1">
      <c r="A41" s="67" t="s">
        <v>25</v>
      </c>
      <c r="B41" s="111">
        <v>1090</v>
      </c>
      <c r="C41" s="148">
        <f>'1.1.Фінансовий результат'!F41</f>
        <v>5.6</v>
      </c>
      <c r="D41" s="465">
        <v>3.6</v>
      </c>
      <c r="E41" s="94">
        <f t="shared" si="2"/>
        <v>-1.9999999999999996</v>
      </c>
      <c r="F41" s="94">
        <f t="shared" si="1"/>
        <v>64.285714285714292</v>
      </c>
      <c r="G41" s="58"/>
      <c r="H41" s="372"/>
      <c r="I41"/>
      <c r="J41" s="94">
        <v>1.1000000000000001</v>
      </c>
      <c r="K41" s="94">
        <v>1.1000000000000001</v>
      </c>
      <c r="L41" s="94">
        <v>1.1000000000000001</v>
      </c>
    </row>
    <row r="42" spans="1:12" s="269" customFormat="1" ht="51" customHeight="1">
      <c r="A42" s="67" t="s">
        <v>26</v>
      </c>
      <c r="B42" s="111">
        <v>1091</v>
      </c>
      <c r="C42" s="530">
        <f>'1.1.Фінансовий результат'!F42</f>
        <v>0</v>
      </c>
      <c r="D42" s="428"/>
      <c r="E42" s="94"/>
      <c r="F42" s="94"/>
      <c r="G42" s="58"/>
      <c r="H42" s="372"/>
      <c r="I42"/>
      <c r="J42" s="94"/>
      <c r="K42" s="94"/>
      <c r="L42" s="94"/>
    </row>
    <row r="43" spans="1:12" s="269" customFormat="1" ht="45" customHeight="1">
      <c r="A43" s="8" t="s">
        <v>27</v>
      </c>
      <c r="B43" s="111">
        <v>1092</v>
      </c>
      <c r="C43" s="148">
        <f>'1.1.Фінансовий результат'!F43</f>
        <v>8</v>
      </c>
      <c r="D43" s="476">
        <v>0</v>
      </c>
      <c r="E43" s="94">
        <f>D43-C43</f>
        <v>-8</v>
      </c>
      <c r="F43" s="94">
        <f>D43/C43*100</f>
        <v>0</v>
      </c>
      <c r="G43" s="291" t="s">
        <v>427</v>
      </c>
      <c r="H43" s="507"/>
      <c r="I43"/>
      <c r="J43" s="94">
        <v>4</v>
      </c>
      <c r="K43" s="94">
        <v>4</v>
      </c>
      <c r="L43" s="94">
        <v>4</v>
      </c>
    </row>
    <row r="44" spans="1:12" s="269" customFormat="1" ht="39.75" customHeight="1">
      <c r="A44" s="67" t="s">
        <v>28</v>
      </c>
      <c r="B44" s="111">
        <v>1093</v>
      </c>
      <c r="C44" s="530">
        <f>'1.1.Фінансовий результат'!F44</f>
        <v>0</v>
      </c>
      <c r="D44" s="428"/>
      <c r="E44" s="94"/>
      <c r="F44" s="94"/>
      <c r="G44" s="58"/>
      <c r="H44" s="372"/>
      <c r="I44"/>
      <c r="J44" s="94"/>
      <c r="K44" s="94"/>
      <c r="L44" s="94"/>
    </row>
    <row r="45" spans="1:12" s="269" customFormat="1" ht="15.75">
      <c r="A45" s="67" t="s">
        <v>29</v>
      </c>
      <c r="B45" s="111">
        <v>1094</v>
      </c>
      <c r="C45" s="530">
        <f>'1.1.Фінансовий результат'!F45</f>
        <v>0</v>
      </c>
      <c r="D45" s="428"/>
      <c r="E45" s="94"/>
      <c r="F45" s="94"/>
      <c r="G45" s="58"/>
      <c r="H45" s="372"/>
      <c r="I45"/>
      <c r="J45" s="94"/>
      <c r="K45" s="94"/>
      <c r="L45" s="94"/>
    </row>
    <row r="46" spans="1:12" s="269" customFormat="1" ht="22.5" customHeight="1">
      <c r="A46" s="67" t="s">
        <v>49</v>
      </c>
      <c r="B46" s="111">
        <v>1095</v>
      </c>
      <c r="C46" s="530">
        <f>'1.1.Фінансовий результат'!F46</f>
        <v>0</v>
      </c>
      <c r="D46" s="428"/>
      <c r="E46" s="94"/>
      <c r="F46" s="94"/>
      <c r="G46" s="58"/>
      <c r="H46" s="372"/>
      <c r="I46"/>
      <c r="J46" s="94"/>
      <c r="K46" s="94"/>
      <c r="L46" s="94"/>
    </row>
    <row r="47" spans="1:12" s="269" customFormat="1" ht="15.75">
      <c r="A47" s="67" t="s">
        <v>30</v>
      </c>
      <c r="B47" s="111">
        <v>1096</v>
      </c>
      <c r="C47" s="530">
        <f>'1.1.Фінансовий результат'!F47</f>
        <v>0</v>
      </c>
      <c r="D47" s="428"/>
      <c r="E47" s="94"/>
      <c r="F47" s="94"/>
      <c r="G47" s="58"/>
      <c r="H47" s="372"/>
      <c r="I47"/>
      <c r="J47" s="94"/>
      <c r="K47" s="94"/>
      <c r="L47" s="94"/>
    </row>
    <row r="48" spans="1:12" s="269" customFormat="1" ht="15.75">
      <c r="A48" s="67" t="s">
        <v>31</v>
      </c>
      <c r="B48" s="111">
        <v>1097</v>
      </c>
      <c r="C48" s="530">
        <f>'1.1.Фінансовий результат'!F48</f>
        <v>0</v>
      </c>
      <c r="D48" s="428"/>
      <c r="E48" s="94"/>
      <c r="F48" s="94"/>
      <c r="G48" s="58"/>
      <c r="H48" s="372"/>
      <c r="I48"/>
      <c r="J48" s="94"/>
      <c r="K48" s="94"/>
      <c r="L48" s="94"/>
    </row>
    <row r="49" spans="1:12" s="269" customFormat="1" ht="31.5">
      <c r="A49" s="67" t="s">
        <v>32</v>
      </c>
      <c r="B49" s="111">
        <v>1098</v>
      </c>
      <c r="C49" s="530">
        <f>'1.1.Фінансовий результат'!F49</f>
        <v>0</v>
      </c>
      <c r="D49" s="428"/>
      <c r="E49" s="94"/>
      <c r="F49" s="94"/>
      <c r="G49" s="58"/>
      <c r="H49" s="372"/>
      <c r="I49"/>
      <c r="J49" s="94"/>
      <c r="K49" s="94"/>
      <c r="L49" s="94"/>
    </row>
    <row r="50" spans="1:12" s="269" customFormat="1" ht="31.5">
      <c r="A50" s="484" t="s">
        <v>33</v>
      </c>
      <c r="B50" s="111">
        <v>1099</v>
      </c>
      <c r="C50" s="530">
        <f>'1.1.Фінансовий результат'!F50</f>
        <v>0</v>
      </c>
      <c r="D50" s="428"/>
      <c r="E50" s="94"/>
      <c r="F50" s="94"/>
      <c r="G50" s="58"/>
      <c r="H50" s="372"/>
      <c r="I50"/>
      <c r="J50" s="94"/>
      <c r="K50" s="94"/>
      <c r="L50" s="94"/>
    </row>
    <row r="51" spans="1:12" s="269" customFormat="1" ht="67.5" customHeight="1">
      <c r="A51" s="484" t="s">
        <v>60</v>
      </c>
      <c r="B51" s="111">
        <v>1100</v>
      </c>
      <c r="C51" s="530">
        <f>'1.1.Фінансовий результат'!F51</f>
        <v>0</v>
      </c>
      <c r="D51" s="486">
        <v>0</v>
      </c>
      <c r="E51" s="486">
        <f>D51-C51</f>
        <v>0</v>
      </c>
      <c r="F51" s="486">
        <v>0</v>
      </c>
      <c r="G51" s="588" t="s">
        <v>427</v>
      </c>
      <c r="H51" s="512"/>
      <c r="I51"/>
      <c r="J51" s="94">
        <v>0</v>
      </c>
      <c r="K51" s="94">
        <v>0</v>
      </c>
      <c r="L51" s="94">
        <v>0</v>
      </c>
    </row>
    <row r="52" spans="1:12" s="269" customFormat="1" ht="31.5" customHeight="1">
      <c r="A52" s="67" t="s">
        <v>379</v>
      </c>
      <c r="B52" s="111">
        <v>1101</v>
      </c>
      <c r="C52" s="530">
        <f>'1.1.Фінансовий результат'!F52</f>
        <v>0</v>
      </c>
      <c r="D52" s="486">
        <v>0</v>
      </c>
      <c r="E52" s="486">
        <f>D52-C52</f>
        <v>0</v>
      </c>
      <c r="F52" s="486">
        <v>0</v>
      </c>
      <c r="G52" s="589"/>
      <c r="H52" s="512"/>
      <c r="I52"/>
      <c r="J52" s="94">
        <v>0</v>
      </c>
      <c r="K52" s="94">
        <v>0</v>
      </c>
      <c r="L52" s="94">
        <v>0</v>
      </c>
    </row>
    <row r="53" spans="1:12" s="269" customFormat="1" ht="31.5">
      <c r="A53" s="67" t="s">
        <v>285</v>
      </c>
      <c r="B53" s="111">
        <v>1102</v>
      </c>
      <c r="C53" s="94">
        <f>C55+C56+C57+C58+C59+C60+C61+C54</f>
        <v>120</v>
      </c>
      <c r="D53" s="465">
        <f>D54+D55+D56+D57+D58+D59+D60+D61</f>
        <v>113.4</v>
      </c>
      <c r="E53" s="94">
        <f t="shared" si="2"/>
        <v>-6.5999999999999943</v>
      </c>
      <c r="F53" s="94">
        <f t="shared" si="1"/>
        <v>94.5</v>
      </c>
      <c r="G53" s="58"/>
      <c r="H53" s="372"/>
      <c r="I53"/>
      <c r="J53" s="94">
        <f t="shared" ref="J53:L53" si="9">J54+J55+J56+J57+J58+J59+J60+J61</f>
        <v>31.2</v>
      </c>
      <c r="K53" s="94">
        <f t="shared" si="9"/>
        <v>26.8</v>
      </c>
      <c r="L53" s="94">
        <f t="shared" si="9"/>
        <v>33.299999999999997</v>
      </c>
    </row>
    <row r="54" spans="1:12" s="269" customFormat="1" ht="15.75">
      <c r="A54" s="147" t="s">
        <v>275</v>
      </c>
      <c r="B54" s="532"/>
      <c r="C54" s="533">
        <f>'1.1.Фінансовий результат'!F54</f>
        <v>0</v>
      </c>
      <c r="D54" s="531">
        <v>0</v>
      </c>
      <c r="E54" s="531"/>
      <c r="F54" s="268"/>
      <c r="G54" s="58"/>
      <c r="H54" s="372"/>
      <c r="I54"/>
      <c r="J54" s="268">
        <v>0</v>
      </c>
      <c r="K54" s="94">
        <v>0</v>
      </c>
      <c r="L54" s="94">
        <v>0</v>
      </c>
    </row>
    <row r="55" spans="1:12" s="269" customFormat="1" ht="15.75">
      <c r="A55" s="147" t="s">
        <v>47</v>
      </c>
      <c r="B55" s="111"/>
      <c r="C55" s="270">
        <f>'1.1.Фінансовий результат'!F55</f>
        <v>43.1</v>
      </c>
      <c r="D55" s="466">
        <v>30.5</v>
      </c>
      <c r="E55" s="268">
        <f t="shared" si="2"/>
        <v>-12.600000000000001</v>
      </c>
      <c r="F55" s="268">
        <f t="shared" si="1"/>
        <v>70.76566125290023</v>
      </c>
      <c r="G55" s="58"/>
      <c r="H55" s="372"/>
      <c r="I55"/>
      <c r="J55" s="268">
        <v>8.6</v>
      </c>
      <c r="K55" s="94">
        <v>5.4</v>
      </c>
      <c r="L55" s="94">
        <v>9.4</v>
      </c>
    </row>
    <row r="56" spans="1:12" s="269" customFormat="1" ht="15.75">
      <c r="A56" s="147" t="s">
        <v>277</v>
      </c>
      <c r="B56" s="111"/>
      <c r="C56" s="270">
        <f>'1.1.Фінансовий результат'!F56</f>
        <v>4.5</v>
      </c>
      <c r="D56" s="466">
        <v>4.4000000000000004</v>
      </c>
      <c r="E56" s="268">
        <f t="shared" si="2"/>
        <v>-9.9999999999999645E-2</v>
      </c>
      <c r="F56" s="268">
        <f t="shared" si="1"/>
        <v>97.777777777777786</v>
      </c>
      <c r="G56" s="58"/>
      <c r="H56" s="372"/>
      <c r="I56"/>
      <c r="J56" s="268">
        <v>0.3</v>
      </c>
      <c r="K56" s="94">
        <v>0.3</v>
      </c>
      <c r="L56" s="94">
        <v>0.6</v>
      </c>
    </row>
    <row r="57" spans="1:12" s="269" customFormat="1" ht="15.75">
      <c r="A57" s="147" t="s">
        <v>276</v>
      </c>
      <c r="B57" s="111"/>
      <c r="C57" s="270">
        <f>'1.1.Фінансовий результат'!F57</f>
        <v>4</v>
      </c>
      <c r="D57" s="466">
        <v>6.2</v>
      </c>
      <c r="E57" s="268">
        <f t="shared" si="2"/>
        <v>2.2000000000000002</v>
      </c>
      <c r="F57" s="268">
        <f t="shared" si="1"/>
        <v>155</v>
      </c>
      <c r="G57" s="292" t="s">
        <v>429</v>
      </c>
      <c r="H57" s="512"/>
      <c r="I57"/>
      <c r="J57" s="268">
        <v>1</v>
      </c>
      <c r="K57" s="94">
        <v>1</v>
      </c>
      <c r="L57" s="94">
        <v>1</v>
      </c>
    </row>
    <row r="58" spans="1:12" s="269" customFormat="1" ht="15.75">
      <c r="A58" s="147" t="s">
        <v>278</v>
      </c>
      <c r="B58" s="111"/>
      <c r="C58" s="533">
        <f>'1.1.Фінансовий результат'!F58</f>
        <v>0</v>
      </c>
      <c r="D58" s="531">
        <v>0</v>
      </c>
      <c r="E58" s="531">
        <f t="shared" si="2"/>
        <v>0</v>
      </c>
      <c r="F58" s="531">
        <v>0</v>
      </c>
      <c r="G58" s="291"/>
      <c r="H58" s="507"/>
      <c r="I58"/>
      <c r="J58" s="268">
        <v>0</v>
      </c>
      <c r="K58" s="94">
        <v>0</v>
      </c>
      <c r="L58" s="94">
        <v>0</v>
      </c>
    </row>
    <row r="59" spans="1:12" s="269" customFormat="1" ht="15.75">
      <c r="A59" s="147" t="s">
        <v>280</v>
      </c>
      <c r="B59" s="111"/>
      <c r="C59" s="270">
        <f>'1.1.Фінансовий результат'!F59</f>
        <v>16.899999999999999</v>
      </c>
      <c r="D59" s="466">
        <v>16.5</v>
      </c>
      <c r="E59" s="268">
        <f t="shared" si="2"/>
        <v>-0.39999999999999858</v>
      </c>
      <c r="F59" s="268">
        <f t="shared" si="1"/>
        <v>97.633136094674569</v>
      </c>
      <c r="G59" s="294"/>
      <c r="H59" s="512"/>
      <c r="I59"/>
      <c r="J59" s="268">
        <v>4.5999999999999996</v>
      </c>
      <c r="K59" s="94">
        <v>4.5999999999999996</v>
      </c>
      <c r="L59" s="94">
        <v>4.5999999999999996</v>
      </c>
    </row>
    <row r="60" spans="1:12" s="272" customFormat="1" ht="15" customHeight="1">
      <c r="A60" s="147" t="s">
        <v>151</v>
      </c>
      <c r="B60" s="284"/>
      <c r="C60" s="270">
        <f>'1.1.Фінансовий результат'!F60</f>
        <v>15.7</v>
      </c>
      <c r="D60" s="466">
        <v>16.100000000000001</v>
      </c>
      <c r="E60" s="268">
        <f t="shared" si="2"/>
        <v>0.40000000000000213</v>
      </c>
      <c r="F60" s="268">
        <f t="shared" si="1"/>
        <v>102.54777070063696</v>
      </c>
      <c r="G60" s="294" t="s">
        <v>428</v>
      </c>
      <c r="H60" s="512"/>
      <c r="J60" s="268">
        <v>6.7</v>
      </c>
      <c r="K60" s="268">
        <v>5.5</v>
      </c>
      <c r="L60" s="268">
        <v>7.7</v>
      </c>
    </row>
    <row r="61" spans="1:12" s="272" customFormat="1" ht="31.5" customHeight="1">
      <c r="A61" s="147" t="s">
        <v>559</v>
      </c>
      <c r="B61" s="284"/>
      <c r="C61" s="270">
        <f>'1.1.Фінансовий результат'!F61</f>
        <v>35.799999999999997</v>
      </c>
      <c r="D61" s="466">
        <v>39.700000000000003</v>
      </c>
      <c r="E61" s="268">
        <f t="shared" si="2"/>
        <v>3.9000000000000057</v>
      </c>
      <c r="F61" s="268">
        <f t="shared" si="1"/>
        <v>110.89385474860336</v>
      </c>
      <c r="G61" s="292" t="s">
        <v>430</v>
      </c>
      <c r="H61" s="512"/>
      <c r="J61" s="268">
        <v>10</v>
      </c>
      <c r="K61" s="268">
        <v>10</v>
      </c>
      <c r="L61" s="268">
        <v>10</v>
      </c>
    </row>
    <row r="62" spans="1:12" ht="15.75">
      <c r="A62" s="114" t="s">
        <v>172</v>
      </c>
      <c r="B62" s="153">
        <v>1110</v>
      </c>
      <c r="C62" s="123">
        <f t="shared" ref="C62:L62" si="10">SUM(C63:C69)</f>
        <v>823.35</v>
      </c>
      <c r="D62" s="467">
        <f t="shared" si="10"/>
        <v>808.9</v>
      </c>
      <c r="E62" s="485">
        <f t="shared" ref="E62" si="11">D62-C62</f>
        <v>-14.450000000000045</v>
      </c>
      <c r="F62" s="485">
        <f t="shared" ref="F62" si="12">D62/C62*100</f>
        <v>98.244974798081003</v>
      </c>
      <c r="G62" s="291"/>
      <c r="H62" s="507"/>
      <c r="I62"/>
      <c r="J62" s="123">
        <f t="shared" si="10"/>
        <v>200.75400000000002</v>
      </c>
      <c r="K62" s="123">
        <f t="shared" si="10"/>
        <v>189.63199999999998</v>
      </c>
      <c r="L62" s="123">
        <f t="shared" si="10"/>
        <v>224.30599999999998</v>
      </c>
    </row>
    <row r="63" spans="1:12" s="269" customFormat="1" ht="15.75">
      <c r="A63" s="67" t="s">
        <v>142</v>
      </c>
      <c r="B63" s="111">
        <v>1111</v>
      </c>
      <c r="C63" s="486">
        <f>'1.1.Фінансовий результат'!F63</f>
        <v>0</v>
      </c>
      <c r="D63" s="465"/>
      <c r="E63" s="94"/>
      <c r="F63" s="94"/>
      <c r="G63" s="291"/>
      <c r="H63" s="507"/>
      <c r="I63"/>
      <c r="J63" s="94"/>
      <c r="K63" s="94"/>
      <c r="L63" s="94"/>
    </row>
    <row r="64" spans="1:12" s="269" customFormat="1" ht="15.75" customHeight="1">
      <c r="A64" s="67" t="s">
        <v>143</v>
      </c>
      <c r="B64" s="111">
        <v>1112</v>
      </c>
      <c r="C64" s="486">
        <f>'1.1.Фінансовий результат'!F64</f>
        <v>0</v>
      </c>
      <c r="D64" s="428"/>
      <c r="E64" s="94"/>
      <c r="F64" s="94"/>
      <c r="G64" s="535" t="s">
        <v>426</v>
      </c>
      <c r="H64" s="517"/>
      <c r="I64"/>
      <c r="J64" s="94"/>
      <c r="K64" s="94"/>
      <c r="L64" s="94"/>
    </row>
    <row r="65" spans="1:12" s="269" customFormat="1" ht="23.25" customHeight="1">
      <c r="A65" s="67" t="s">
        <v>23</v>
      </c>
      <c r="B65" s="111">
        <v>1113</v>
      </c>
      <c r="C65" s="94">
        <f>'1.1.Фінансовий результат'!F65</f>
        <v>514.9</v>
      </c>
      <c r="D65" s="465">
        <v>522.79999999999995</v>
      </c>
      <c r="E65" s="268">
        <f t="shared" si="2"/>
        <v>7.8999999999999773</v>
      </c>
      <c r="F65" s="94">
        <f t="shared" si="1"/>
        <v>101.53427850067973</v>
      </c>
      <c r="G65" s="534"/>
      <c r="H65" s="517"/>
      <c r="I65"/>
      <c r="J65" s="94">
        <v>110.7</v>
      </c>
      <c r="K65" s="94">
        <v>115.6</v>
      </c>
      <c r="L65" s="94">
        <v>117.3</v>
      </c>
    </row>
    <row r="66" spans="1:12" s="269" customFormat="1" ht="26.25" customHeight="1">
      <c r="A66" s="67" t="s">
        <v>422</v>
      </c>
      <c r="B66" s="113" t="s">
        <v>354</v>
      </c>
      <c r="C66" s="410">
        <f>'1.1.Фінансовий результат'!F66</f>
        <v>104.1</v>
      </c>
      <c r="D66" s="465">
        <v>96</v>
      </c>
      <c r="E66" s="268">
        <f t="shared" si="2"/>
        <v>-8.0999999999999943</v>
      </c>
      <c r="F66" s="94">
        <f t="shared" si="1"/>
        <v>92.219020172910675</v>
      </c>
      <c r="G66" s="292" t="s">
        <v>561</v>
      </c>
      <c r="H66" s="511"/>
      <c r="I66"/>
      <c r="J66" s="94">
        <f>J65*0.22</f>
        <v>24.353999999999999</v>
      </c>
      <c r="K66" s="94">
        <f>K65*0.22</f>
        <v>25.431999999999999</v>
      </c>
      <c r="L66" s="94">
        <f>L65*0.22</f>
        <v>25.806000000000001</v>
      </c>
    </row>
    <row r="67" spans="1:12" s="269" customFormat="1" ht="31.5">
      <c r="A67" s="67" t="s">
        <v>46</v>
      </c>
      <c r="B67" s="111">
        <v>1114</v>
      </c>
      <c r="C67" s="410">
        <f>'1.1.Фінансовий результат'!F67</f>
        <v>2</v>
      </c>
      <c r="D67" s="465">
        <v>2.2000000000000002</v>
      </c>
      <c r="E67" s="268">
        <f t="shared" ref="E67" si="13">D67-C67</f>
        <v>0.20000000000000018</v>
      </c>
      <c r="F67" s="476">
        <f t="shared" ref="F67" si="14">D67/C67*100</f>
        <v>110.00000000000001</v>
      </c>
      <c r="G67" s="291"/>
      <c r="H67" s="507"/>
      <c r="I67"/>
      <c r="J67" s="94">
        <v>25</v>
      </c>
      <c r="K67" s="94">
        <v>25</v>
      </c>
      <c r="L67" s="94">
        <v>25</v>
      </c>
    </row>
    <row r="68" spans="1:12" s="269" customFormat="1" ht="15.75">
      <c r="A68" s="67" t="s">
        <v>63</v>
      </c>
      <c r="B68" s="111">
        <v>1115</v>
      </c>
      <c r="C68" s="410">
        <f>'1.1.Фінансовий результат'!F68</f>
        <v>0</v>
      </c>
      <c r="D68" s="476">
        <v>0</v>
      </c>
      <c r="E68" s="94">
        <f t="shared" si="2"/>
        <v>0</v>
      </c>
      <c r="F68" s="94">
        <v>0</v>
      </c>
      <c r="G68" s="291"/>
      <c r="H68" s="507"/>
      <c r="I68"/>
      <c r="J68" s="94"/>
      <c r="K68" s="94"/>
      <c r="L68" s="94"/>
    </row>
    <row r="69" spans="1:12" s="269" customFormat="1" ht="15.75">
      <c r="A69" s="67" t="s">
        <v>284</v>
      </c>
      <c r="B69" s="111">
        <v>1116</v>
      </c>
      <c r="C69" s="94">
        <f t="shared" ref="C69:L69" si="15">C70+C71+C72+C73+C74+C75+C76+C77+C78</f>
        <v>202.35</v>
      </c>
      <c r="D69" s="465">
        <f t="shared" si="15"/>
        <v>187.89999999999998</v>
      </c>
      <c r="E69" s="94">
        <f t="shared" si="2"/>
        <v>-14.450000000000017</v>
      </c>
      <c r="F69" s="94">
        <f t="shared" si="1"/>
        <v>92.858907832962672</v>
      </c>
      <c r="G69" s="291"/>
      <c r="H69" s="507"/>
      <c r="I69"/>
      <c r="J69" s="94">
        <f t="shared" si="15"/>
        <v>40.700000000000003</v>
      </c>
      <c r="K69" s="94">
        <f t="shared" si="15"/>
        <v>23.599999999999998</v>
      </c>
      <c r="L69" s="94">
        <f t="shared" si="15"/>
        <v>56.2</v>
      </c>
    </row>
    <row r="70" spans="1:12" s="272" customFormat="1" ht="25.5">
      <c r="A70" s="147" t="s">
        <v>275</v>
      </c>
      <c r="B70" s="271" t="s">
        <v>345</v>
      </c>
      <c r="C70" s="268">
        <f>'1.1.Фінансовий результат'!F70</f>
        <v>33.6</v>
      </c>
      <c r="D70" s="466">
        <v>26.9</v>
      </c>
      <c r="E70" s="268">
        <f t="shared" si="2"/>
        <v>-6.7000000000000028</v>
      </c>
      <c r="F70" s="268">
        <f t="shared" si="1"/>
        <v>80.059523809523796</v>
      </c>
      <c r="G70" s="294" t="s">
        <v>562</v>
      </c>
      <c r="H70" s="512"/>
      <c r="I70"/>
      <c r="J70" s="268">
        <v>3.2</v>
      </c>
      <c r="K70" s="268">
        <v>0</v>
      </c>
      <c r="L70" s="268">
        <v>11.3</v>
      </c>
    </row>
    <row r="71" spans="1:12" s="272" customFormat="1" ht="15.75">
      <c r="A71" s="147" t="s">
        <v>47</v>
      </c>
      <c r="B71" s="271" t="s">
        <v>346</v>
      </c>
      <c r="C71" s="268">
        <f>'1.1.Фінансовий результат'!F71</f>
        <v>12.399999999999999</v>
      </c>
      <c r="D71" s="466">
        <v>12.4</v>
      </c>
      <c r="E71" s="268">
        <f t="shared" si="2"/>
        <v>0</v>
      </c>
      <c r="F71" s="268">
        <f t="shared" si="1"/>
        <v>100.00000000000003</v>
      </c>
      <c r="G71" s="291"/>
      <c r="H71" s="507"/>
      <c r="I71"/>
      <c r="J71" s="268">
        <v>2</v>
      </c>
      <c r="K71" s="268">
        <v>2</v>
      </c>
      <c r="L71" s="268">
        <v>3.3</v>
      </c>
    </row>
    <row r="72" spans="1:12" s="272" customFormat="1" ht="15.75">
      <c r="A72" s="147" t="s">
        <v>277</v>
      </c>
      <c r="B72" s="271" t="s">
        <v>347</v>
      </c>
      <c r="C72" s="268">
        <f>'1.1.Фінансовий результат'!F72</f>
        <v>0.55000000000000004</v>
      </c>
      <c r="D72" s="466">
        <v>0.5</v>
      </c>
      <c r="E72" s="268">
        <f t="shared" si="2"/>
        <v>-5.0000000000000044E-2</v>
      </c>
      <c r="F72" s="268">
        <f t="shared" ref="F72:F93" si="16">D72/C72*100</f>
        <v>90.909090909090907</v>
      </c>
      <c r="G72" s="291"/>
      <c r="H72" s="507"/>
      <c r="I72"/>
      <c r="J72" s="268">
        <v>0.1</v>
      </c>
      <c r="K72" s="268">
        <v>0.1</v>
      </c>
      <c r="L72" s="268">
        <v>0.1</v>
      </c>
    </row>
    <row r="73" spans="1:12" s="272" customFormat="1" ht="15.75">
      <c r="A73" s="147" t="s">
        <v>281</v>
      </c>
      <c r="B73" s="271" t="s">
        <v>348</v>
      </c>
      <c r="C73" s="268">
        <f>'1.1.Фінансовий результат'!F73</f>
        <v>1.7000000000000002</v>
      </c>
      <c r="D73" s="466">
        <v>0.3</v>
      </c>
      <c r="E73" s="268">
        <f t="shared" ref="E73:E94" si="17">D73-C73</f>
        <v>-1.4000000000000001</v>
      </c>
      <c r="F73" s="268">
        <f t="shared" si="16"/>
        <v>17.647058823529409</v>
      </c>
      <c r="G73" s="294"/>
      <c r="H73" s="512"/>
      <c r="I73"/>
      <c r="J73" s="268">
        <v>0.4</v>
      </c>
      <c r="K73" s="268">
        <v>0.4</v>
      </c>
      <c r="L73" s="268">
        <v>0.4</v>
      </c>
    </row>
    <row r="74" spans="1:12" s="272" customFormat="1" ht="15.75">
      <c r="A74" s="147" t="s">
        <v>283</v>
      </c>
      <c r="B74" s="271" t="s">
        <v>349</v>
      </c>
      <c r="C74" s="268">
        <f>'1.1.Фінансовий результат'!F74</f>
        <v>126.89999999999999</v>
      </c>
      <c r="D74" s="466">
        <v>124</v>
      </c>
      <c r="E74" s="268">
        <f t="shared" si="17"/>
        <v>-2.8999999999999915</v>
      </c>
      <c r="F74" s="268">
        <f t="shared" si="16"/>
        <v>97.714736012608356</v>
      </c>
      <c r="G74" s="58"/>
      <c r="H74" s="372"/>
      <c r="I74"/>
      <c r="J74" s="268">
        <v>27.9</v>
      </c>
      <c r="K74" s="268">
        <v>14</v>
      </c>
      <c r="L74" s="268">
        <v>34</v>
      </c>
    </row>
    <row r="75" spans="1:12" s="272" customFormat="1" ht="15.75">
      <c r="A75" s="147" t="s">
        <v>276</v>
      </c>
      <c r="B75" s="271" t="s">
        <v>350</v>
      </c>
      <c r="C75" s="268">
        <f>'1.1.Фінансовий результат'!F75</f>
        <v>6.4</v>
      </c>
      <c r="D75" s="466">
        <v>5</v>
      </c>
      <c r="E75" s="268">
        <f t="shared" si="17"/>
        <v>-1.4000000000000004</v>
      </c>
      <c r="F75" s="268">
        <f t="shared" si="16"/>
        <v>78.125</v>
      </c>
      <c r="G75" s="58"/>
      <c r="H75" s="372"/>
      <c r="I75"/>
      <c r="J75" s="268">
        <v>1.4</v>
      </c>
      <c r="K75" s="268">
        <v>1.4</v>
      </c>
      <c r="L75" s="268">
        <v>1.4</v>
      </c>
    </row>
    <row r="76" spans="1:12" s="272" customFormat="1" ht="15.75">
      <c r="A76" s="147" t="s">
        <v>296</v>
      </c>
      <c r="B76" s="271" t="s">
        <v>351</v>
      </c>
      <c r="C76" s="268">
        <f>'1.1.Фінансовий результат'!F76</f>
        <v>4.3</v>
      </c>
      <c r="D76" s="466">
        <v>4</v>
      </c>
      <c r="E76" s="268">
        <f t="shared" si="17"/>
        <v>-0.29999999999999982</v>
      </c>
      <c r="F76" s="268">
        <f t="shared" si="16"/>
        <v>93.023255813953483</v>
      </c>
      <c r="G76" s="58"/>
      <c r="H76" s="372"/>
      <c r="I76"/>
      <c r="J76" s="268">
        <v>1.2</v>
      </c>
      <c r="K76" s="268">
        <v>1.2</v>
      </c>
      <c r="L76" s="268">
        <v>1.2</v>
      </c>
    </row>
    <row r="77" spans="1:12" s="272" customFormat="1" ht="15.75">
      <c r="A77" s="147" t="s">
        <v>297</v>
      </c>
      <c r="B77" s="271" t="s">
        <v>352</v>
      </c>
      <c r="C77" s="268">
        <f>'1.1.Фінансовий результат'!F77</f>
        <v>10.9</v>
      </c>
      <c r="D77" s="466">
        <v>11.2</v>
      </c>
      <c r="E77" s="268">
        <f t="shared" si="17"/>
        <v>0.29999999999999893</v>
      </c>
      <c r="F77" s="268">
        <f t="shared" si="16"/>
        <v>102.75229357798163</v>
      </c>
      <c r="G77" s="294" t="s">
        <v>430</v>
      </c>
      <c r="H77" s="512"/>
      <c r="I77"/>
      <c r="J77" s="268">
        <v>2.5</v>
      </c>
      <c r="K77" s="268">
        <v>2.5</v>
      </c>
      <c r="L77" s="268">
        <v>2.5</v>
      </c>
    </row>
    <row r="78" spans="1:12" s="272" customFormat="1">
      <c r="A78" s="147" t="s">
        <v>154</v>
      </c>
      <c r="B78" s="271" t="s">
        <v>353</v>
      </c>
      <c r="C78" s="268">
        <f>'1.1.Фінансовий результат'!F78</f>
        <v>5.6</v>
      </c>
      <c r="D78" s="466">
        <v>3.6</v>
      </c>
      <c r="E78" s="268">
        <f t="shared" si="17"/>
        <v>-1.9999999999999996</v>
      </c>
      <c r="F78" s="268">
        <f t="shared" si="16"/>
        <v>64.285714285714292</v>
      </c>
      <c r="G78" s="57"/>
      <c r="H78" s="72"/>
      <c r="I78"/>
      <c r="J78" s="268">
        <v>2</v>
      </c>
      <c r="K78" s="268">
        <v>2</v>
      </c>
      <c r="L78" s="268">
        <v>2</v>
      </c>
    </row>
    <row r="79" spans="1:12" ht="15.75">
      <c r="A79" s="114" t="s">
        <v>282</v>
      </c>
      <c r="B79" s="153">
        <v>1120</v>
      </c>
      <c r="C79" s="123">
        <f t="shared" ref="C79:L79" si="18">C84</f>
        <v>65.440000000000012</v>
      </c>
      <c r="D79" s="467">
        <f t="shared" si="18"/>
        <v>65</v>
      </c>
      <c r="E79" s="485">
        <f t="shared" si="17"/>
        <v>-0.44000000000001194</v>
      </c>
      <c r="F79" s="485">
        <f t="shared" si="16"/>
        <v>99.327628361858174</v>
      </c>
      <c r="G79" s="58"/>
      <c r="H79" s="372"/>
      <c r="I79"/>
      <c r="J79" s="123">
        <f t="shared" si="18"/>
        <v>30.3</v>
      </c>
      <c r="K79" s="123">
        <f t="shared" si="18"/>
        <v>30.3</v>
      </c>
      <c r="L79" s="123">
        <f t="shared" si="18"/>
        <v>30.3</v>
      </c>
    </row>
    <row r="80" spans="1:12" s="269" customFormat="1" ht="15.75">
      <c r="A80" s="67" t="s">
        <v>53</v>
      </c>
      <c r="B80" s="111">
        <v>1121</v>
      </c>
      <c r="C80" s="94"/>
      <c r="D80" s="428"/>
      <c r="E80" s="94"/>
      <c r="F80" s="94"/>
      <c r="G80" s="58"/>
      <c r="H80" s="372"/>
      <c r="I80"/>
      <c r="J80" s="94"/>
      <c r="K80" s="94"/>
      <c r="L80" s="94"/>
    </row>
    <row r="81" spans="1:12" s="269" customFormat="1" ht="15.75">
      <c r="A81" s="67" t="s">
        <v>34</v>
      </c>
      <c r="B81" s="111">
        <v>1122</v>
      </c>
      <c r="C81" s="94"/>
      <c r="D81" s="428"/>
      <c r="E81" s="94"/>
      <c r="F81" s="94"/>
      <c r="G81" s="58"/>
      <c r="H81" s="372"/>
      <c r="I81"/>
      <c r="J81" s="94"/>
      <c r="K81" s="94"/>
      <c r="L81" s="94"/>
    </row>
    <row r="82" spans="1:12" s="269" customFormat="1" ht="31.5">
      <c r="A82" s="67" t="s">
        <v>44</v>
      </c>
      <c r="B82" s="111">
        <v>1123</v>
      </c>
      <c r="C82" s="94"/>
      <c r="D82" s="428"/>
      <c r="E82" s="486">
        <f t="shared" si="17"/>
        <v>0</v>
      </c>
      <c r="F82" s="486" t="e">
        <f t="shared" si="16"/>
        <v>#DIV/0!</v>
      </c>
      <c r="G82" s="58"/>
      <c r="H82" s="372"/>
      <c r="I82"/>
      <c r="J82" s="94"/>
      <c r="K82" s="94"/>
      <c r="L82" s="94"/>
    </row>
    <row r="83" spans="1:12" s="269" customFormat="1" ht="15.75">
      <c r="A83" s="67" t="s">
        <v>165</v>
      </c>
      <c r="B83" s="111">
        <v>1124</v>
      </c>
      <c r="C83" s="94"/>
      <c r="D83" s="428"/>
      <c r="E83" s="486">
        <f t="shared" si="17"/>
        <v>0</v>
      </c>
      <c r="F83" s="486" t="e">
        <f t="shared" si="16"/>
        <v>#DIV/0!</v>
      </c>
      <c r="G83" s="58"/>
      <c r="H83" s="372"/>
      <c r="I83"/>
      <c r="J83" s="94"/>
      <c r="K83" s="94"/>
      <c r="L83" s="94"/>
    </row>
    <row r="84" spans="1:12" s="269" customFormat="1" ht="29.25" customHeight="1">
      <c r="A84" s="67" t="s">
        <v>286</v>
      </c>
      <c r="B84" s="111">
        <v>1125</v>
      </c>
      <c r="C84" s="94">
        <f t="shared" ref="C84:L84" si="19">C85+C86+C87</f>
        <v>65.440000000000012</v>
      </c>
      <c r="D84" s="465">
        <f>D85+D86+D87</f>
        <v>65</v>
      </c>
      <c r="E84" s="94">
        <f t="shared" si="17"/>
        <v>-0.44000000000001194</v>
      </c>
      <c r="F84" s="94">
        <f t="shared" si="16"/>
        <v>99.327628361858174</v>
      </c>
      <c r="G84" s="58"/>
      <c r="H84" s="372"/>
      <c r="I84"/>
      <c r="J84" s="94">
        <f t="shared" si="19"/>
        <v>30.3</v>
      </c>
      <c r="K84" s="94">
        <f t="shared" si="19"/>
        <v>30.3</v>
      </c>
      <c r="L84" s="94">
        <f t="shared" si="19"/>
        <v>30.3</v>
      </c>
    </row>
    <row r="85" spans="1:12" s="272" customFormat="1" ht="15.75">
      <c r="A85" s="147" t="s">
        <v>287</v>
      </c>
      <c r="B85" s="273"/>
      <c r="C85" s="268">
        <f>'1.1.Фінансовий результат'!F85</f>
        <v>0</v>
      </c>
      <c r="D85" s="466">
        <v>0</v>
      </c>
      <c r="E85" s="268">
        <f t="shared" si="17"/>
        <v>0</v>
      </c>
      <c r="F85" s="268">
        <v>0</v>
      </c>
      <c r="G85" s="58"/>
      <c r="H85" s="372"/>
      <c r="I85"/>
      <c r="J85" s="268">
        <v>0.1</v>
      </c>
      <c r="K85" s="268">
        <v>0.1</v>
      </c>
      <c r="L85" s="268">
        <v>0.1</v>
      </c>
    </row>
    <row r="86" spans="1:12" s="272" customFormat="1" ht="15.75">
      <c r="A86" s="147" t="s">
        <v>288</v>
      </c>
      <c r="B86" s="273"/>
      <c r="C86" s="268">
        <f>'1.1.Фінансовий результат'!F86</f>
        <v>64.240000000000009</v>
      </c>
      <c r="D86" s="466">
        <v>64.099999999999994</v>
      </c>
      <c r="E86" s="268">
        <f t="shared" si="17"/>
        <v>-0.14000000000001478</v>
      </c>
      <c r="F86" s="268">
        <f t="shared" si="16"/>
        <v>99.782067247820649</v>
      </c>
      <c r="G86" s="268"/>
      <c r="H86" s="518"/>
      <c r="I86"/>
      <c r="J86" s="268">
        <v>30</v>
      </c>
      <c r="K86" s="268">
        <v>30</v>
      </c>
      <c r="L86" s="268">
        <v>30</v>
      </c>
    </row>
    <row r="87" spans="1:12" s="272" customFormat="1" ht="15.75">
      <c r="A87" s="147" t="s">
        <v>289</v>
      </c>
      <c r="B87" s="273"/>
      <c r="C87" s="268">
        <f>'1.1.Фінансовий результат'!F87</f>
        <v>1.2</v>
      </c>
      <c r="D87" s="466">
        <v>0.9</v>
      </c>
      <c r="E87" s="268">
        <f t="shared" ref="E87" si="20">D87-C87</f>
        <v>-0.29999999999999993</v>
      </c>
      <c r="F87" s="268">
        <f t="shared" ref="F87" si="21">D87/C87*100</f>
        <v>75</v>
      </c>
      <c r="G87" s="471"/>
      <c r="H87" s="519"/>
      <c r="I87"/>
      <c r="J87" s="268">
        <v>0.2</v>
      </c>
      <c r="K87" s="268">
        <v>0.2</v>
      </c>
      <c r="L87" s="268">
        <v>0.2</v>
      </c>
    </row>
    <row r="88" spans="1:12" ht="56.25">
      <c r="A88" s="75" t="s">
        <v>248</v>
      </c>
      <c r="B88" s="156">
        <v>1130</v>
      </c>
      <c r="C88" s="170">
        <f t="shared" ref="C88:L88" si="22">C29+C30-C31-C62-C79</f>
        <v>31.003519999996954</v>
      </c>
      <c r="D88" s="468">
        <f t="shared" si="22"/>
        <v>45.132946400000151</v>
      </c>
      <c r="E88" s="170">
        <f t="shared" si="17"/>
        <v>14.129426400003197</v>
      </c>
      <c r="F88" s="170">
        <f t="shared" si="16"/>
        <v>145.57362002767618</v>
      </c>
      <c r="G88" s="170"/>
      <c r="H88" s="520"/>
      <c r="I88"/>
      <c r="J88" s="170">
        <f t="shared" si="22"/>
        <v>10.017999999999983</v>
      </c>
      <c r="K88" s="170">
        <f>K29+K30-K31-K62-K79</f>
        <v>10.031999999999908</v>
      </c>
      <c r="L88" s="170">
        <f t="shared" si="22"/>
        <v>9.9759999999999529</v>
      </c>
    </row>
    <row r="89" spans="1:12" ht="21" customHeight="1">
      <c r="A89" s="114" t="s">
        <v>88</v>
      </c>
      <c r="B89" s="153">
        <v>1140</v>
      </c>
      <c r="C89" s="154"/>
      <c r="D89" s="429"/>
      <c r="E89" s="123"/>
      <c r="F89" s="123"/>
      <c r="G89" s="123"/>
      <c r="H89" s="521"/>
      <c r="I89"/>
      <c r="J89" s="123"/>
      <c r="K89" s="123"/>
      <c r="L89" s="123"/>
    </row>
    <row r="90" spans="1:12" ht="25.5" customHeight="1">
      <c r="A90" s="114" t="s">
        <v>89</v>
      </c>
      <c r="B90" s="153">
        <v>1150</v>
      </c>
      <c r="C90" s="123"/>
      <c r="D90" s="429"/>
      <c r="E90" s="123"/>
      <c r="F90" s="123"/>
      <c r="G90" s="123"/>
      <c r="H90" s="521"/>
      <c r="I90"/>
      <c r="J90" s="123"/>
      <c r="K90" s="123"/>
      <c r="L90" s="123"/>
    </row>
    <row r="91" spans="1:12" ht="31.5" customHeight="1">
      <c r="A91" s="114" t="s">
        <v>166</v>
      </c>
      <c r="B91" s="153">
        <v>1160</v>
      </c>
      <c r="C91" s="154"/>
      <c r="D91" s="429"/>
      <c r="E91" s="487">
        <f t="shared" si="17"/>
        <v>0</v>
      </c>
      <c r="F91" s="487" t="e">
        <f t="shared" si="16"/>
        <v>#DIV/0!</v>
      </c>
      <c r="G91" s="123"/>
      <c r="H91" s="521"/>
      <c r="I91"/>
      <c r="J91" s="123"/>
      <c r="K91" s="123"/>
      <c r="L91" s="123"/>
    </row>
    <row r="92" spans="1:12" s="269" customFormat="1" ht="22.5" customHeight="1">
      <c r="A92" s="67" t="s">
        <v>563</v>
      </c>
      <c r="B92" s="111">
        <v>1170</v>
      </c>
      <c r="C92" s="94"/>
      <c r="D92" s="428"/>
      <c r="E92" s="486">
        <f t="shared" si="17"/>
        <v>0</v>
      </c>
      <c r="F92" s="486" t="e">
        <f t="shared" si="16"/>
        <v>#DIV/0!</v>
      </c>
      <c r="G92" s="94"/>
      <c r="H92" s="499"/>
      <c r="I92"/>
      <c r="J92" s="94"/>
      <c r="K92" s="94"/>
      <c r="L92" s="94"/>
    </row>
    <row r="93" spans="1:12" ht="60.75">
      <c r="A93" s="220" t="s">
        <v>249</v>
      </c>
      <c r="B93" s="155">
        <v>1200</v>
      </c>
      <c r="C93" s="221">
        <f t="shared" ref="C93:L93" si="23">C88+C89+C91-C90-C92</f>
        <v>31.003519999996954</v>
      </c>
      <c r="D93" s="221">
        <f t="shared" si="23"/>
        <v>45.132946400000151</v>
      </c>
      <c r="E93" s="221">
        <f t="shared" si="17"/>
        <v>14.129426400003197</v>
      </c>
      <c r="F93" s="221">
        <f t="shared" si="16"/>
        <v>145.57362002767618</v>
      </c>
      <c r="G93" s="221"/>
      <c r="H93" s="522"/>
      <c r="I93"/>
      <c r="J93" s="221">
        <f t="shared" si="23"/>
        <v>10.017999999999983</v>
      </c>
      <c r="K93" s="221">
        <f>K88+K89+K91-K90-K92</f>
        <v>10.031999999999908</v>
      </c>
      <c r="L93" s="221">
        <f t="shared" si="23"/>
        <v>9.9759999999999529</v>
      </c>
    </row>
    <row r="94" spans="1:12" s="269" customFormat="1" ht="30.75" customHeight="1">
      <c r="A94" s="8" t="s">
        <v>109</v>
      </c>
      <c r="B94" s="111">
        <v>1210</v>
      </c>
      <c r="C94" s="245">
        <f t="shared" ref="C94:L94" si="24">C93*0.18</f>
        <v>5.5806335999994516</v>
      </c>
      <c r="D94" s="477">
        <f t="shared" si="24"/>
        <v>8.123930352000027</v>
      </c>
      <c r="E94" s="245">
        <f t="shared" si="17"/>
        <v>2.5432967520005754</v>
      </c>
      <c r="F94" s="245">
        <f>D94/C94*100</f>
        <v>145.57362002767616</v>
      </c>
      <c r="G94" s="245"/>
      <c r="H94" s="502"/>
      <c r="I94"/>
      <c r="J94" s="245">
        <f t="shared" si="24"/>
        <v>1.8032399999999968</v>
      </c>
      <c r="K94" s="245">
        <f t="shared" si="24"/>
        <v>1.8057599999999834</v>
      </c>
      <c r="L94" s="245">
        <f t="shared" si="24"/>
        <v>1.7956799999999915</v>
      </c>
    </row>
    <row r="95" spans="1:12" s="269" customFormat="1" ht="48.75" customHeight="1">
      <c r="A95" s="537" t="s">
        <v>110</v>
      </c>
      <c r="B95" s="111">
        <v>1220</v>
      </c>
      <c r="C95" s="94"/>
      <c r="D95" s="428"/>
      <c r="E95" s="94"/>
      <c r="F95" s="94"/>
      <c r="G95" s="94"/>
      <c r="H95" s="499"/>
      <c r="I95"/>
      <c r="J95" s="94"/>
      <c r="K95" s="94"/>
      <c r="L95" s="94"/>
    </row>
    <row r="96" spans="1:12" ht="37.5">
      <c r="A96" s="75" t="s">
        <v>251</v>
      </c>
      <c r="B96" s="155">
        <v>1230</v>
      </c>
      <c r="C96" s="221">
        <f t="shared" ref="C96:L96" si="25">C93-C94</f>
        <v>25.422886399997502</v>
      </c>
      <c r="D96" s="221">
        <f t="shared" si="25"/>
        <v>37.00901604800012</v>
      </c>
      <c r="E96" s="221">
        <f t="shared" ref="E96" si="26">D96-C96</f>
        <v>11.586129648002618</v>
      </c>
      <c r="F96" s="221">
        <f t="shared" ref="F96" si="27">D96/C96*100</f>
        <v>145.57362002767616</v>
      </c>
      <c r="G96" s="221"/>
      <c r="H96" s="522"/>
      <c r="I96"/>
      <c r="J96" s="221">
        <f t="shared" si="25"/>
        <v>8.2147599999999859</v>
      </c>
      <c r="K96" s="221">
        <f t="shared" si="25"/>
        <v>8.2262399999999243</v>
      </c>
      <c r="L96" s="221">
        <f t="shared" si="25"/>
        <v>8.180319999999961</v>
      </c>
    </row>
    <row r="97" spans="1:13" ht="47.25" customHeight="1">
      <c r="A97" s="280" t="s">
        <v>203</v>
      </c>
      <c r="B97" s="281"/>
      <c r="C97" s="281"/>
      <c r="D97" s="430"/>
      <c r="E97" s="281"/>
      <c r="F97" s="281"/>
      <c r="G97" s="282"/>
      <c r="H97" s="54"/>
      <c r="I97"/>
      <c r="J97" s="281"/>
      <c r="K97" s="281"/>
      <c r="L97" s="282"/>
    </row>
    <row r="98" spans="1:13" s="269" customFormat="1">
      <c r="A98" s="8" t="s">
        <v>6</v>
      </c>
      <c r="B98" s="111">
        <v>1240</v>
      </c>
      <c r="C98" s="245">
        <f t="shared" ref="C98:L98" si="28">C13+C30+C89+C91</f>
        <v>18975.39</v>
      </c>
      <c r="D98" s="477">
        <f t="shared" si="28"/>
        <v>19637</v>
      </c>
      <c r="E98" s="245">
        <f t="shared" si="28"/>
        <v>661.61000000000058</v>
      </c>
      <c r="F98" s="245">
        <f t="shared" ref="F98:F99" si="29">D98/C98*100</f>
        <v>103.4866740551841</v>
      </c>
      <c r="G98" s="245"/>
      <c r="H98" s="502"/>
      <c r="I98"/>
      <c r="J98" s="245">
        <f t="shared" si="28"/>
        <v>3852</v>
      </c>
      <c r="K98" s="245">
        <f t="shared" si="28"/>
        <v>3863</v>
      </c>
      <c r="L98" s="245">
        <f t="shared" si="28"/>
        <v>3858.7</v>
      </c>
    </row>
    <row r="99" spans="1:13" s="269" customFormat="1">
      <c r="A99" s="8" t="s">
        <v>93</v>
      </c>
      <c r="B99" s="111">
        <v>1250</v>
      </c>
      <c r="C99" s="245">
        <f t="shared" ref="C99:L99" si="30">C14+C31+C62+C79+C90+C92+C94</f>
        <v>18949.9671136</v>
      </c>
      <c r="D99" s="477">
        <f t="shared" si="30"/>
        <v>19599.990983952004</v>
      </c>
      <c r="E99" s="245">
        <f t="shared" si="30"/>
        <v>650.02387035199797</v>
      </c>
      <c r="F99" s="245">
        <f t="shared" si="29"/>
        <v>103.43021107348254</v>
      </c>
      <c r="G99" s="245"/>
      <c r="H99" s="502"/>
      <c r="I99"/>
      <c r="J99" s="245">
        <f t="shared" si="30"/>
        <v>3843.7852400000002</v>
      </c>
      <c r="K99" s="245">
        <f t="shared" si="30"/>
        <v>3854.7737600000005</v>
      </c>
      <c r="L99" s="245">
        <f t="shared" si="30"/>
        <v>3850.5196800000003</v>
      </c>
    </row>
    <row r="100" spans="1:13" ht="32.25" customHeight="1">
      <c r="A100" s="280" t="s">
        <v>174</v>
      </c>
      <c r="B100" s="281"/>
      <c r="C100" s="281"/>
      <c r="D100" s="430"/>
      <c r="E100" s="281"/>
      <c r="F100" s="281"/>
      <c r="G100" s="282"/>
      <c r="H100" s="54"/>
      <c r="I100"/>
      <c r="J100" s="281"/>
      <c r="K100" s="281"/>
      <c r="L100" s="282"/>
    </row>
    <row r="101" spans="1:13" ht="19.5" customHeight="1">
      <c r="A101" s="8" t="s">
        <v>204</v>
      </c>
      <c r="B101" s="157">
        <v>1260</v>
      </c>
      <c r="C101" s="90">
        <f t="shared" ref="C101:K101" si="31">C102+C103</f>
        <v>5633.5499999999993</v>
      </c>
      <c r="D101" s="90">
        <f t="shared" si="31"/>
        <v>6519.3000000000011</v>
      </c>
      <c r="E101" s="90">
        <f t="shared" ref="E101:E107" si="32">D101-C101</f>
        <v>885.75000000000182</v>
      </c>
      <c r="F101" s="90">
        <f t="shared" ref="F101:F107" si="33">D101/C101*100</f>
        <v>115.72276805921669</v>
      </c>
      <c r="G101" s="275"/>
      <c r="H101" s="408">
        <f>D15+D16+D17+D22-D25+D38+D53-D57-D59-D61+D69-D74-D75-D76-D77</f>
        <v>6953</v>
      </c>
      <c r="I101" s="408">
        <f>6259-D101</f>
        <v>-260.30000000000109</v>
      </c>
      <c r="J101" s="275">
        <f t="shared" si="31"/>
        <v>1113.2</v>
      </c>
      <c r="K101" s="275">
        <f t="shared" si="31"/>
        <v>1329.1</v>
      </c>
      <c r="L101" s="275">
        <f>L102+L103</f>
        <v>1284</v>
      </c>
    </row>
    <row r="102" spans="1:13" s="269" customFormat="1" ht="43.5" customHeight="1">
      <c r="A102" s="147" t="s">
        <v>202</v>
      </c>
      <c r="B102" s="157">
        <v>1261</v>
      </c>
      <c r="C102" s="270">
        <f>'1.1.Фінансовий результат'!F104</f>
        <v>2672.1499999999996</v>
      </c>
      <c r="D102" s="268">
        <f>D15+D26+D60+D72+D73+D56+26.8</f>
        <v>3718.9000000000005</v>
      </c>
      <c r="E102" s="268">
        <f t="shared" si="32"/>
        <v>1046.7500000000009</v>
      </c>
      <c r="F102" s="268">
        <f t="shared" si="33"/>
        <v>139.17257638979851</v>
      </c>
      <c r="G102" s="291" t="s">
        <v>553</v>
      </c>
      <c r="I102" s="408">
        <f>D15+D60+D73</f>
        <v>3637.2000000000003</v>
      </c>
      <c r="J102" s="268">
        <f t="shared" ref="J102:L102" si="34">J15+J26+J60+J72+J73+J56</f>
        <v>537.9</v>
      </c>
      <c r="K102" s="268">
        <f t="shared" si="34"/>
        <v>629.89999999999986</v>
      </c>
      <c r="L102" s="268">
        <f t="shared" si="34"/>
        <v>589.80000000000007</v>
      </c>
    </row>
    <row r="103" spans="1:13" s="269" customFormat="1" ht="15.75">
      <c r="A103" s="147" t="s">
        <v>11</v>
      </c>
      <c r="B103" s="157">
        <v>1262</v>
      </c>
      <c r="C103" s="270">
        <f>'1.1.Фінансовий результат'!F105</f>
        <v>2961.4</v>
      </c>
      <c r="D103" s="268">
        <f>D16+D17+D27+D54+D55+D70+D71+142.5</f>
        <v>2800.4</v>
      </c>
      <c r="E103" s="268">
        <f t="shared" si="32"/>
        <v>-161</v>
      </c>
      <c r="F103" s="268">
        <f t="shared" si="33"/>
        <v>94.563382184102124</v>
      </c>
      <c r="G103" s="268"/>
      <c r="H103" s="518"/>
      <c r="I103" s="408">
        <f>D16+D17+D55+D71</f>
        <v>2598.8000000000002</v>
      </c>
      <c r="J103" s="268">
        <f>J16+J17+J27+J55+J70+J71+36.1</f>
        <v>575.30000000000007</v>
      </c>
      <c r="K103" s="268">
        <f>K16+K17+K27+K55+K70+K71+35.9</f>
        <v>699.19999999999993</v>
      </c>
      <c r="L103" s="268">
        <f>L16+L17+L27+L55+L70+L71+35.9</f>
        <v>694.19999999999993</v>
      </c>
    </row>
    <row r="104" spans="1:13" s="269" customFormat="1">
      <c r="A104" s="8" t="s">
        <v>2</v>
      </c>
      <c r="B104" s="157">
        <v>1270</v>
      </c>
      <c r="C104" s="90">
        <f>'1.1.Фінансовий результат'!F106</f>
        <v>9987.0829999999987</v>
      </c>
      <c r="D104" s="477">
        <f>D18+D39+D65+'5. Інша інформація'!I63</f>
        <v>9622.9598799999985</v>
      </c>
      <c r="E104" s="245">
        <f t="shared" si="32"/>
        <v>-364.1231200000002</v>
      </c>
      <c r="F104" s="245">
        <f t="shared" si="33"/>
        <v>96.35405933844747</v>
      </c>
      <c r="G104" s="245"/>
      <c r="H104" s="502"/>
      <c r="I104" s="408">
        <f>6259-I102-I103</f>
        <v>22.999999999999545</v>
      </c>
      <c r="J104" s="245">
        <f>J18+J39+J65+3</f>
        <v>1811.1000000000001</v>
      </c>
      <c r="K104" s="245">
        <f>K18+K39+K65+3</f>
        <v>1892.3999999999999</v>
      </c>
      <c r="L104" s="245">
        <f>L18+L39+L65+3</f>
        <v>1922.2</v>
      </c>
    </row>
    <row r="105" spans="1:13" s="269" customFormat="1" ht="20.25" customHeight="1">
      <c r="A105" s="8" t="s">
        <v>3</v>
      </c>
      <c r="B105" s="157">
        <v>1280</v>
      </c>
      <c r="C105" s="90">
        <f>'1.1.Фінансовий результат'!F107</f>
        <v>2163.6166400000002</v>
      </c>
      <c r="D105" s="477">
        <f>D19+D40+D66+'5. Інша інформація'!J63</f>
        <v>2053.0071736</v>
      </c>
      <c r="E105" s="245">
        <f t="shared" si="32"/>
        <v>-110.6094664000002</v>
      </c>
      <c r="F105" s="245">
        <f t="shared" si="33"/>
        <v>94.887751168340046</v>
      </c>
      <c r="G105" s="245"/>
      <c r="H105" s="502"/>
      <c r="I105"/>
      <c r="J105" s="245">
        <f>J19+J40+J66+0.6</f>
        <v>398.38200000000001</v>
      </c>
      <c r="K105" s="245">
        <f>K19+K40+K66+0.7</f>
        <v>416.36799999999999</v>
      </c>
      <c r="L105" s="245">
        <f>L19+L40+L66+0.7</f>
        <v>422.92399999999998</v>
      </c>
    </row>
    <row r="106" spans="1:13" s="269" customFormat="1">
      <c r="A106" s="8" t="s">
        <v>4</v>
      </c>
      <c r="B106" s="157">
        <v>1290</v>
      </c>
      <c r="C106" s="90">
        <f>'1.1.Фінансовий результат'!F108</f>
        <v>239.8</v>
      </c>
      <c r="D106" s="477">
        <f>D21+D41+D67</f>
        <v>206.99999999999997</v>
      </c>
      <c r="E106" s="245">
        <f t="shared" si="32"/>
        <v>-32.80000000000004</v>
      </c>
      <c r="F106" s="245">
        <f t="shared" si="33"/>
        <v>86.321934945788144</v>
      </c>
      <c r="G106" s="245"/>
      <c r="H106" s="502"/>
      <c r="I106"/>
      <c r="J106" s="245">
        <f>J21+J41+J67+0.3</f>
        <v>62.3</v>
      </c>
      <c r="K106" s="245">
        <f>K21+K41+K67+0.4</f>
        <v>75</v>
      </c>
      <c r="L106" s="245">
        <f>L21+L41+L67+0.4</f>
        <v>75</v>
      </c>
    </row>
    <row r="107" spans="1:13" s="269" customFormat="1">
      <c r="A107" s="8" t="s">
        <v>12</v>
      </c>
      <c r="B107" s="157">
        <v>1300</v>
      </c>
      <c r="C107" s="90">
        <f>'1.1.Фінансовий результат'!F109</f>
        <v>914.5</v>
      </c>
      <c r="D107" s="477">
        <f>D23+D24+D25+D38+D43+D57+D58+D59+D74+D77+D79+D28+D36+D61+D78+D51+D75+D76</f>
        <v>1189.6000000000001</v>
      </c>
      <c r="E107" s="245">
        <f t="shared" si="32"/>
        <v>275.10000000000014</v>
      </c>
      <c r="F107" s="245">
        <f t="shared" si="33"/>
        <v>130.08201202843085</v>
      </c>
      <c r="G107" s="491"/>
      <c r="H107" s="491">
        <f>D108-D101-D104-D105-D106</f>
        <v>1189.5999999999995</v>
      </c>
      <c r="I107" s="245">
        <f>D22+D53+D79</f>
        <v>1162.0000000000002</v>
      </c>
      <c r="J107" s="245">
        <f>J23+J24+J25+J38+J43+J57+J58+J59+J74+J75+J77+J79+J76+J28+J61+J78</f>
        <v>457</v>
      </c>
      <c r="K107" s="245">
        <f>K23+K24+K25+K38+K43+K57+K58+K59+K74+K75+K77+K79+K76+K28+K61+K78+K51</f>
        <v>140.1</v>
      </c>
      <c r="L107" s="245">
        <f>L23+L24+L25+L38+L43+L57+L58+L59+L74+L75+L77+L79+L76+L28+L61+L78+L36</f>
        <v>144.6</v>
      </c>
    </row>
    <row r="108" spans="1:13" ht="20.25">
      <c r="A108" s="218" t="s">
        <v>40</v>
      </c>
      <c r="B108" s="536">
        <v>1310</v>
      </c>
      <c r="C108" s="172">
        <f t="shared" ref="C108:L108" si="35">C101+C104+C105+C106+C107</f>
        <v>18938.549639999997</v>
      </c>
      <c r="D108" s="172">
        <f t="shared" si="35"/>
        <v>19591.867053599999</v>
      </c>
      <c r="E108" s="172">
        <f t="shared" ref="E108" si="36">D108-C108</f>
        <v>653.3174136000016</v>
      </c>
      <c r="F108" s="172">
        <f t="shared" ref="F108" si="37">D108/C108*100</f>
        <v>103.44966972666234</v>
      </c>
      <c r="G108" s="222"/>
      <c r="H108" s="523"/>
      <c r="I108"/>
      <c r="J108" s="222">
        <f t="shared" si="35"/>
        <v>3841.9820000000004</v>
      </c>
      <c r="K108" s="222">
        <f t="shared" si="35"/>
        <v>3852.9679999999998</v>
      </c>
      <c r="L108" s="222">
        <f t="shared" si="35"/>
        <v>3848.7239999999997</v>
      </c>
    </row>
    <row r="109" spans="1:13" ht="56.25" customHeight="1">
      <c r="A109" s="492" t="s">
        <v>419</v>
      </c>
      <c r="B109" s="1"/>
      <c r="C109" s="493"/>
      <c r="D109" s="493"/>
      <c r="E109" s="1"/>
      <c r="F109" s="578" t="s">
        <v>330</v>
      </c>
      <c r="G109" s="578"/>
      <c r="H109" s="524"/>
      <c r="I109" s="494">
        <f>J108-D108</f>
        <v>-15749.885053599999</v>
      </c>
      <c r="J109" s="408"/>
      <c r="K109" s="474"/>
      <c r="L109" s="474"/>
      <c r="M109" s="474"/>
    </row>
    <row r="110" spans="1:13" s="269" customFormat="1" ht="12.75">
      <c r="A110" s="473" t="s">
        <v>180</v>
      </c>
      <c r="B110" s="277"/>
      <c r="C110" s="576"/>
      <c r="D110" s="576"/>
      <c r="E110" s="576"/>
      <c r="F110" s="283" t="s">
        <v>81</v>
      </c>
      <c r="G110" s="283"/>
      <c r="H110" s="277"/>
      <c r="I110"/>
      <c r="J110"/>
    </row>
    <row r="111" spans="1:13">
      <c r="A111" s="24"/>
      <c r="C111" s="241"/>
      <c r="D111" s="483">
        <f>D99-D94-D92</f>
        <v>19591.867053600003</v>
      </c>
      <c r="E111" s="25"/>
      <c r="F111" s="25"/>
      <c r="G111" s="25"/>
      <c r="H111" s="25"/>
      <c r="I111"/>
      <c r="J111" s="25"/>
      <c r="K111" s="25"/>
      <c r="L111" s="25"/>
    </row>
    <row r="112" spans="1:13">
      <c r="A112" s="24"/>
      <c r="C112" s="241"/>
      <c r="D112" s="241"/>
      <c r="E112" s="25"/>
      <c r="F112" s="25"/>
      <c r="G112" s="25"/>
      <c r="H112" s="25"/>
      <c r="I112"/>
      <c r="J112" s="25"/>
      <c r="K112" s="25"/>
      <c r="L112" s="25"/>
    </row>
    <row r="113" spans="1:12">
      <c r="A113" s="24"/>
      <c r="C113" s="241"/>
      <c r="D113" s="241"/>
      <c r="E113" s="25"/>
      <c r="F113" s="25"/>
      <c r="G113" s="25"/>
      <c r="H113" s="25"/>
      <c r="I113" s="25"/>
      <c r="J113" s="25"/>
      <c r="K113" s="25"/>
      <c r="L113" s="25"/>
    </row>
    <row r="114" spans="1:12">
      <c r="A114" s="24"/>
      <c r="C114" s="241"/>
      <c r="D114" s="241"/>
      <c r="E114" s="25"/>
      <c r="F114" s="25"/>
      <c r="G114" s="25"/>
      <c r="H114" s="25"/>
      <c r="I114" s="25"/>
      <c r="J114" s="25"/>
      <c r="K114" s="25"/>
      <c r="L114" s="25"/>
    </row>
    <row r="115" spans="1:12">
      <c r="A115" s="24"/>
      <c r="C115" s="241"/>
      <c r="D115" s="241">
        <f>D96+D106</f>
        <v>244.00901604800009</v>
      </c>
      <c r="E115" s="25"/>
      <c r="F115" s="25"/>
      <c r="G115" s="25"/>
      <c r="H115" s="25"/>
      <c r="I115" s="25"/>
      <c r="J115" s="25"/>
      <c r="K115" s="25"/>
      <c r="L115" s="25"/>
    </row>
    <row r="116" spans="1:12">
      <c r="A116" s="24"/>
      <c r="C116" s="241"/>
      <c r="D116" s="241"/>
      <c r="E116" s="25"/>
      <c r="F116" s="25"/>
      <c r="G116" s="25"/>
      <c r="H116" s="25"/>
      <c r="I116" s="25"/>
      <c r="J116" s="25"/>
      <c r="K116" s="25"/>
      <c r="L116" s="25"/>
    </row>
    <row r="117" spans="1:12">
      <c r="A117" s="24"/>
      <c r="C117" s="241"/>
      <c r="D117" s="241"/>
      <c r="E117" s="25"/>
      <c r="F117" s="25"/>
      <c r="G117" s="25"/>
      <c r="H117" s="25"/>
      <c r="I117" s="25"/>
      <c r="J117" s="25"/>
      <c r="K117" s="25"/>
      <c r="L117" s="25"/>
    </row>
    <row r="118" spans="1:12">
      <c r="A118" s="24"/>
      <c r="C118" s="241"/>
      <c r="D118" s="241"/>
      <c r="E118" s="25"/>
      <c r="F118" s="25"/>
      <c r="G118" s="25"/>
      <c r="H118" s="25"/>
      <c r="I118" s="25"/>
      <c r="J118" s="25"/>
      <c r="K118" s="25"/>
      <c r="L118" s="25"/>
    </row>
    <row r="119" spans="1:12">
      <c r="A119" s="24"/>
      <c r="C119" s="241"/>
      <c r="D119" s="241"/>
      <c r="E119" s="25"/>
      <c r="F119" s="25"/>
      <c r="G119" s="25"/>
      <c r="H119" s="25"/>
      <c r="I119" s="25"/>
      <c r="J119" s="25"/>
      <c r="K119" s="25"/>
      <c r="L119" s="25"/>
    </row>
    <row r="120" spans="1:12">
      <c r="A120" s="24"/>
      <c r="C120" s="241"/>
      <c r="D120" s="241"/>
      <c r="E120" s="25"/>
      <c r="F120" s="25"/>
      <c r="G120" s="25"/>
      <c r="H120" s="25"/>
      <c r="I120" s="25"/>
      <c r="J120" s="25"/>
      <c r="K120" s="25"/>
      <c r="L120" s="25"/>
    </row>
    <row r="121" spans="1:12">
      <c r="A121" s="24"/>
      <c r="C121" s="241"/>
      <c r="D121" s="241"/>
      <c r="E121" s="25"/>
      <c r="F121" s="25"/>
      <c r="G121" s="25"/>
      <c r="H121" s="25"/>
      <c r="I121" s="25"/>
      <c r="J121" s="25"/>
      <c r="K121" s="25"/>
      <c r="L121" s="25"/>
    </row>
    <row r="122" spans="1:12">
      <c r="A122" s="24"/>
      <c r="C122" s="241"/>
      <c r="D122" s="241"/>
      <c r="E122" s="25"/>
      <c r="F122" s="25"/>
      <c r="G122" s="25"/>
      <c r="H122" s="25"/>
      <c r="I122" s="25"/>
      <c r="J122" s="25"/>
      <c r="K122" s="25"/>
      <c r="L122" s="25"/>
    </row>
    <row r="123" spans="1:12">
      <c r="A123" s="24"/>
      <c r="C123" s="241"/>
      <c r="D123" s="241"/>
      <c r="E123" s="25"/>
      <c r="F123" s="25"/>
      <c r="G123" s="25"/>
      <c r="H123" s="25"/>
      <c r="I123" s="25"/>
      <c r="J123" s="25"/>
      <c r="K123" s="25"/>
      <c r="L123" s="25"/>
    </row>
    <row r="124" spans="1:12">
      <c r="A124" s="24"/>
      <c r="C124" s="241"/>
      <c r="D124" s="241"/>
      <c r="E124" s="25"/>
      <c r="F124" s="25"/>
      <c r="G124" s="25"/>
      <c r="H124" s="25"/>
      <c r="I124" s="25"/>
      <c r="J124" s="25"/>
      <c r="K124" s="25"/>
      <c r="L124" s="25"/>
    </row>
    <row r="125" spans="1:12">
      <c r="A125" s="24"/>
      <c r="C125" s="241"/>
      <c r="D125" s="241"/>
      <c r="E125" s="25"/>
      <c r="F125" s="25"/>
      <c r="G125" s="25"/>
      <c r="H125" s="25"/>
      <c r="I125" s="25"/>
      <c r="J125" s="25"/>
      <c r="K125" s="25"/>
      <c r="L125" s="25"/>
    </row>
    <row r="126" spans="1:12">
      <c r="A126" s="24"/>
      <c r="C126" s="241"/>
      <c r="D126" s="241"/>
      <c r="E126" s="25"/>
      <c r="F126" s="25"/>
      <c r="G126" s="25"/>
      <c r="H126" s="25"/>
      <c r="I126" s="25"/>
      <c r="J126" s="25"/>
      <c r="K126" s="25"/>
      <c r="L126" s="25"/>
    </row>
    <row r="127" spans="1:12">
      <c r="A127" s="24"/>
      <c r="C127" s="241"/>
      <c r="D127" s="241"/>
      <c r="E127" s="25"/>
      <c r="F127" s="25"/>
      <c r="G127" s="25"/>
      <c r="H127" s="25"/>
      <c r="I127" s="25"/>
      <c r="J127" s="25"/>
      <c r="K127" s="25"/>
      <c r="L127" s="25"/>
    </row>
    <row r="128" spans="1:12">
      <c r="A128" s="24"/>
      <c r="C128" s="241"/>
      <c r="D128" s="241"/>
      <c r="E128" s="25"/>
      <c r="F128" s="25"/>
      <c r="G128" s="25"/>
      <c r="H128" s="25"/>
      <c r="I128" s="25"/>
      <c r="J128" s="25"/>
      <c r="K128" s="25"/>
      <c r="L128" s="25"/>
    </row>
    <row r="129" spans="1:12">
      <c r="A129" s="24"/>
      <c r="C129" s="241"/>
      <c r="D129" s="241"/>
      <c r="E129" s="25"/>
      <c r="F129" s="25"/>
      <c r="G129" s="25"/>
      <c r="H129" s="25"/>
      <c r="I129" s="25"/>
      <c r="J129" s="25"/>
      <c r="K129" s="25"/>
      <c r="L129" s="25"/>
    </row>
    <row r="130" spans="1:12">
      <c r="A130" s="24"/>
      <c r="C130" s="241"/>
      <c r="D130" s="241"/>
      <c r="E130" s="25"/>
      <c r="F130" s="25"/>
      <c r="G130" s="25"/>
      <c r="H130" s="25"/>
      <c r="I130" s="25"/>
      <c r="J130" s="25"/>
      <c r="K130" s="25"/>
      <c r="L130" s="25"/>
    </row>
    <row r="131" spans="1:12">
      <c r="A131" s="24"/>
      <c r="C131" s="241"/>
      <c r="D131" s="241"/>
      <c r="E131" s="25"/>
      <c r="F131" s="25"/>
      <c r="G131" s="25"/>
      <c r="H131" s="25"/>
      <c r="I131" s="25"/>
      <c r="J131" s="25"/>
      <c r="K131" s="25"/>
      <c r="L131" s="25"/>
    </row>
    <row r="132" spans="1:12">
      <c r="A132" s="24"/>
      <c r="C132" s="241"/>
      <c r="D132" s="241"/>
      <c r="E132" s="25"/>
      <c r="F132" s="25"/>
      <c r="G132" s="25"/>
      <c r="H132" s="25"/>
      <c r="I132" s="25"/>
      <c r="J132" s="25"/>
      <c r="K132" s="25"/>
      <c r="L132" s="25"/>
    </row>
    <row r="133" spans="1:12">
      <c r="A133" s="24"/>
      <c r="C133" s="241"/>
      <c r="D133" s="241"/>
      <c r="E133" s="25"/>
      <c r="F133" s="25"/>
      <c r="G133" s="25"/>
      <c r="H133" s="25"/>
      <c r="I133" s="25"/>
      <c r="J133" s="25"/>
      <c r="K133" s="25"/>
      <c r="L133" s="25"/>
    </row>
    <row r="134" spans="1:12">
      <c r="A134" s="24"/>
      <c r="C134" s="241"/>
      <c r="D134" s="241"/>
      <c r="E134" s="25"/>
      <c r="F134" s="25"/>
      <c r="G134" s="25"/>
      <c r="H134" s="25"/>
      <c r="I134" s="25"/>
      <c r="J134" s="25"/>
      <c r="K134" s="25"/>
      <c r="L134" s="25"/>
    </row>
    <row r="135" spans="1:12">
      <c r="A135" s="24"/>
      <c r="C135" s="241"/>
      <c r="D135" s="241"/>
      <c r="E135" s="25"/>
      <c r="F135" s="25"/>
      <c r="G135" s="25"/>
      <c r="H135" s="25"/>
      <c r="I135" s="25"/>
      <c r="J135" s="25"/>
      <c r="K135" s="25"/>
      <c r="L135" s="25"/>
    </row>
    <row r="136" spans="1:12">
      <c r="A136" s="24"/>
      <c r="C136" s="241"/>
      <c r="D136" s="241"/>
      <c r="E136" s="25"/>
      <c r="F136" s="25"/>
      <c r="G136" s="25"/>
      <c r="H136" s="25"/>
      <c r="I136" s="25"/>
      <c r="J136" s="25"/>
      <c r="K136" s="25"/>
      <c r="L136" s="25"/>
    </row>
    <row r="137" spans="1:12">
      <c r="A137" s="24"/>
      <c r="C137" s="241"/>
      <c r="D137" s="241"/>
      <c r="E137" s="25"/>
      <c r="F137" s="25"/>
      <c r="G137" s="25"/>
      <c r="H137" s="25"/>
      <c r="I137" s="25"/>
      <c r="J137" s="25"/>
      <c r="K137" s="25"/>
      <c r="L137" s="25"/>
    </row>
    <row r="138" spans="1:12">
      <c r="A138" s="24"/>
      <c r="C138" s="241"/>
      <c r="D138" s="241"/>
      <c r="E138" s="25"/>
      <c r="F138" s="25"/>
      <c r="G138" s="25"/>
      <c r="H138" s="25"/>
      <c r="I138" s="25"/>
      <c r="J138" s="25"/>
      <c r="K138" s="25"/>
      <c r="L138" s="25"/>
    </row>
    <row r="139" spans="1:12">
      <c r="A139" s="24"/>
      <c r="C139" s="241"/>
      <c r="D139" s="241"/>
      <c r="E139" s="25"/>
      <c r="F139" s="25"/>
      <c r="G139" s="25"/>
      <c r="H139" s="25"/>
      <c r="I139" s="25"/>
      <c r="J139" s="25"/>
      <c r="K139" s="25"/>
      <c r="L139" s="25"/>
    </row>
    <row r="140" spans="1:12">
      <c r="A140" s="24"/>
      <c r="C140" s="241"/>
      <c r="D140" s="241"/>
      <c r="E140" s="25"/>
      <c r="F140" s="25"/>
      <c r="G140" s="25"/>
      <c r="H140" s="25"/>
      <c r="I140" s="25"/>
      <c r="J140" s="25"/>
      <c r="K140" s="25"/>
      <c r="L140" s="25"/>
    </row>
    <row r="141" spans="1:12">
      <c r="A141" s="24"/>
      <c r="C141" s="241"/>
      <c r="D141" s="241"/>
      <c r="E141" s="25"/>
      <c r="F141" s="25"/>
      <c r="G141" s="25"/>
      <c r="H141" s="25"/>
      <c r="I141" s="25"/>
      <c r="J141" s="25"/>
      <c r="K141" s="25"/>
      <c r="L141" s="25"/>
    </row>
    <row r="142" spans="1:12">
      <c r="A142" s="24"/>
      <c r="C142" s="241"/>
      <c r="D142" s="241"/>
      <c r="E142" s="25"/>
      <c r="F142" s="25"/>
      <c r="G142" s="25"/>
      <c r="H142" s="25"/>
      <c r="I142" s="25"/>
      <c r="J142" s="25"/>
      <c r="K142" s="25"/>
      <c r="L142" s="25"/>
    </row>
    <row r="143" spans="1:12">
      <c r="A143" s="24"/>
      <c r="C143" s="241"/>
      <c r="D143" s="241"/>
      <c r="E143" s="25"/>
      <c r="F143" s="25"/>
      <c r="G143" s="25"/>
      <c r="H143" s="25"/>
      <c r="I143" s="25"/>
      <c r="J143" s="25"/>
      <c r="K143" s="25"/>
      <c r="L143" s="25"/>
    </row>
    <row r="144" spans="1:12">
      <c r="A144" s="24"/>
      <c r="C144" s="241"/>
      <c r="D144" s="241"/>
      <c r="E144" s="25"/>
      <c r="F144" s="25"/>
      <c r="G144" s="25"/>
      <c r="H144" s="25"/>
      <c r="I144" s="25"/>
      <c r="J144" s="25"/>
      <c r="K144" s="25"/>
      <c r="L144" s="25"/>
    </row>
    <row r="145" spans="1:12">
      <c r="A145" s="24"/>
      <c r="C145" s="241"/>
      <c r="D145" s="241"/>
      <c r="E145" s="25"/>
      <c r="F145" s="25"/>
      <c r="G145" s="25"/>
      <c r="H145" s="25"/>
      <c r="I145" s="25"/>
      <c r="J145" s="25"/>
      <c r="K145" s="25"/>
      <c r="L145" s="25"/>
    </row>
    <row r="146" spans="1:12">
      <c r="A146" s="24"/>
      <c r="C146" s="241"/>
      <c r="D146" s="241"/>
      <c r="E146" s="25"/>
      <c r="F146" s="25"/>
      <c r="G146" s="25"/>
      <c r="H146" s="25"/>
      <c r="I146" s="25"/>
      <c r="J146" s="25"/>
      <c r="K146" s="25"/>
      <c r="L146" s="25"/>
    </row>
    <row r="147" spans="1:12">
      <c r="A147" s="24"/>
      <c r="C147" s="241"/>
      <c r="D147" s="241"/>
      <c r="E147" s="25"/>
      <c r="F147" s="25"/>
      <c r="G147" s="25"/>
      <c r="H147" s="25"/>
      <c r="I147" s="25"/>
      <c r="J147" s="25"/>
      <c r="K147" s="25"/>
      <c r="L147" s="25"/>
    </row>
    <row r="148" spans="1:12">
      <c r="A148" s="24"/>
      <c r="C148" s="241"/>
      <c r="D148" s="241"/>
      <c r="E148" s="25"/>
      <c r="F148" s="25"/>
      <c r="G148" s="25"/>
      <c r="H148" s="25"/>
      <c r="I148" s="25"/>
      <c r="J148" s="25"/>
      <c r="K148" s="25"/>
      <c r="L148" s="25"/>
    </row>
    <row r="149" spans="1:12">
      <c r="A149" s="24"/>
      <c r="C149" s="241"/>
      <c r="D149" s="241"/>
      <c r="E149" s="25"/>
      <c r="F149" s="25"/>
      <c r="G149" s="25"/>
      <c r="H149" s="25"/>
      <c r="I149" s="25"/>
      <c r="J149" s="25"/>
      <c r="K149" s="25"/>
      <c r="L149" s="25"/>
    </row>
    <row r="150" spans="1:12">
      <c r="A150" s="24"/>
      <c r="C150" s="241"/>
      <c r="D150" s="241"/>
      <c r="E150" s="25"/>
      <c r="F150" s="25"/>
      <c r="G150" s="25"/>
      <c r="H150" s="25"/>
      <c r="I150" s="25"/>
      <c r="J150" s="25"/>
      <c r="K150" s="25"/>
      <c r="L150" s="25"/>
    </row>
    <row r="151" spans="1:12">
      <c r="A151" s="24"/>
      <c r="C151" s="241"/>
      <c r="D151" s="241"/>
      <c r="E151" s="25"/>
      <c r="F151" s="25"/>
      <c r="G151" s="25"/>
      <c r="H151" s="25"/>
      <c r="I151" s="25"/>
      <c r="J151" s="25"/>
      <c r="K151" s="25"/>
      <c r="L151" s="25"/>
    </row>
    <row r="152" spans="1:12">
      <c r="A152" s="24"/>
      <c r="C152" s="241"/>
      <c r="D152" s="241"/>
      <c r="E152" s="25"/>
      <c r="F152" s="25"/>
      <c r="G152" s="25"/>
      <c r="H152" s="25"/>
      <c r="I152" s="25"/>
      <c r="J152" s="25"/>
      <c r="K152" s="25"/>
      <c r="L152" s="25"/>
    </row>
    <row r="153" spans="1:12">
      <c r="A153" s="24"/>
      <c r="C153" s="241"/>
      <c r="D153" s="241"/>
      <c r="E153" s="25"/>
      <c r="F153" s="25"/>
      <c r="G153" s="25"/>
      <c r="H153" s="25"/>
      <c r="I153" s="25"/>
      <c r="J153" s="25"/>
      <c r="K153" s="25"/>
      <c r="L153" s="25"/>
    </row>
    <row r="154" spans="1:12">
      <c r="A154" s="24"/>
      <c r="C154" s="241"/>
      <c r="D154" s="241"/>
      <c r="E154" s="25"/>
      <c r="F154" s="25"/>
      <c r="G154" s="25"/>
      <c r="H154" s="25"/>
      <c r="I154" s="25"/>
      <c r="J154" s="25"/>
      <c r="K154" s="25"/>
      <c r="L154" s="25"/>
    </row>
    <row r="155" spans="1:12">
      <c r="A155" s="24"/>
      <c r="C155" s="241"/>
      <c r="D155" s="241"/>
      <c r="E155" s="25"/>
      <c r="F155" s="25"/>
      <c r="G155" s="25"/>
      <c r="H155" s="25"/>
      <c r="I155" s="25"/>
      <c r="J155" s="25"/>
      <c r="K155" s="25"/>
      <c r="L155" s="25"/>
    </row>
    <row r="156" spans="1:12">
      <c r="A156" s="24"/>
      <c r="C156" s="241"/>
      <c r="D156" s="241"/>
      <c r="E156" s="25"/>
      <c r="F156" s="25"/>
      <c r="G156" s="25"/>
      <c r="H156" s="25"/>
      <c r="I156" s="25"/>
      <c r="J156" s="25"/>
      <c r="K156" s="25"/>
      <c r="L156" s="25"/>
    </row>
    <row r="157" spans="1:12">
      <c r="A157" s="24"/>
      <c r="C157" s="241"/>
      <c r="D157" s="241"/>
      <c r="E157" s="25"/>
      <c r="F157" s="25"/>
      <c r="G157" s="25"/>
      <c r="H157" s="25"/>
      <c r="I157" s="25"/>
      <c r="J157" s="25"/>
      <c r="K157" s="25"/>
      <c r="L157" s="25"/>
    </row>
    <row r="158" spans="1:12">
      <c r="A158" s="24"/>
      <c r="C158" s="241"/>
      <c r="D158" s="241"/>
      <c r="E158" s="25"/>
      <c r="F158" s="25"/>
      <c r="G158" s="25"/>
      <c r="H158" s="25"/>
      <c r="I158" s="25"/>
      <c r="J158" s="25"/>
      <c r="K158" s="25"/>
      <c r="L158" s="25"/>
    </row>
    <row r="159" spans="1:12">
      <c r="A159" s="24"/>
      <c r="C159" s="241"/>
      <c r="D159" s="241"/>
      <c r="E159" s="25"/>
      <c r="F159" s="25"/>
      <c r="G159" s="25"/>
      <c r="H159" s="25"/>
      <c r="I159" s="25"/>
      <c r="J159" s="25"/>
      <c r="K159" s="25"/>
      <c r="L159" s="25"/>
    </row>
    <row r="160" spans="1:12">
      <c r="A160" s="24"/>
      <c r="C160" s="241"/>
      <c r="D160" s="241"/>
      <c r="E160" s="25"/>
      <c r="F160" s="25"/>
      <c r="G160" s="25"/>
      <c r="H160" s="25"/>
      <c r="I160" s="25"/>
      <c r="J160" s="25"/>
      <c r="K160" s="25"/>
      <c r="L160" s="25"/>
    </row>
    <row r="161" spans="1:12">
      <c r="A161" s="24"/>
      <c r="C161" s="241"/>
      <c r="D161" s="241"/>
      <c r="E161" s="25"/>
      <c r="F161" s="25"/>
      <c r="G161" s="25"/>
      <c r="H161" s="25"/>
      <c r="I161" s="25"/>
      <c r="J161" s="25"/>
      <c r="K161" s="25"/>
      <c r="L161" s="25"/>
    </row>
    <row r="162" spans="1:12">
      <c r="A162" s="24"/>
      <c r="C162" s="241"/>
      <c r="D162" s="241"/>
      <c r="E162" s="25"/>
      <c r="F162" s="25"/>
      <c r="G162" s="25"/>
      <c r="H162" s="25"/>
      <c r="I162" s="25"/>
      <c r="J162" s="25"/>
      <c r="K162" s="25"/>
      <c r="L162" s="25"/>
    </row>
    <row r="163" spans="1:12">
      <c r="A163" s="24"/>
      <c r="C163" s="241"/>
      <c r="D163" s="241"/>
      <c r="E163" s="25"/>
      <c r="F163" s="25"/>
      <c r="G163" s="25"/>
      <c r="H163" s="25"/>
      <c r="I163" s="25"/>
      <c r="J163" s="25"/>
      <c r="K163" s="25"/>
      <c r="L163" s="25"/>
    </row>
    <row r="164" spans="1:12">
      <c r="A164" s="24"/>
      <c r="C164" s="241"/>
      <c r="D164" s="241"/>
      <c r="E164" s="25"/>
      <c r="F164" s="25"/>
      <c r="G164" s="25"/>
      <c r="H164" s="25"/>
      <c r="I164" s="25"/>
      <c r="J164" s="25"/>
      <c r="K164" s="25"/>
      <c r="L164" s="25"/>
    </row>
    <row r="165" spans="1:12">
      <c r="A165" s="24"/>
      <c r="C165" s="241"/>
      <c r="D165" s="241"/>
      <c r="E165" s="25"/>
      <c r="F165" s="25"/>
      <c r="G165" s="25"/>
      <c r="H165" s="25"/>
      <c r="I165" s="25"/>
      <c r="J165" s="25"/>
      <c r="K165" s="25"/>
      <c r="L165" s="25"/>
    </row>
    <row r="166" spans="1:12">
      <c r="A166" s="24"/>
      <c r="C166" s="241"/>
      <c r="D166" s="241"/>
      <c r="E166" s="25"/>
      <c r="F166" s="25"/>
      <c r="G166" s="25"/>
      <c r="H166" s="25"/>
      <c r="I166" s="25"/>
      <c r="J166" s="25"/>
      <c r="K166" s="25"/>
      <c r="L166" s="25"/>
    </row>
    <row r="167" spans="1:12">
      <c r="A167" s="24"/>
      <c r="C167" s="241"/>
      <c r="D167" s="241"/>
      <c r="E167" s="25"/>
      <c r="F167" s="25"/>
      <c r="G167" s="25"/>
      <c r="H167" s="25"/>
      <c r="I167" s="25"/>
      <c r="J167" s="25"/>
      <c r="K167" s="25"/>
      <c r="L167" s="25"/>
    </row>
    <row r="168" spans="1:12">
      <c r="A168" s="24"/>
      <c r="C168" s="241"/>
      <c r="D168" s="241"/>
      <c r="E168" s="25"/>
      <c r="F168" s="25"/>
      <c r="G168" s="25"/>
      <c r="H168" s="25"/>
      <c r="I168" s="25"/>
      <c r="J168" s="25"/>
      <c r="K168" s="25"/>
      <c r="L168" s="25"/>
    </row>
    <row r="169" spans="1:12">
      <c r="A169" s="37"/>
    </row>
    <row r="170" spans="1:12">
      <c r="A170" s="37"/>
    </row>
    <row r="171" spans="1:12">
      <c r="A171" s="37"/>
    </row>
    <row r="172" spans="1:12">
      <c r="A172" s="37"/>
    </row>
    <row r="173" spans="1:12">
      <c r="A173" s="37"/>
    </row>
    <row r="174" spans="1:12">
      <c r="A174" s="37"/>
    </row>
    <row r="175" spans="1:12">
      <c r="A175" s="37"/>
    </row>
    <row r="176" spans="1:12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37"/>
    </row>
    <row r="185" spans="1:1">
      <c r="A185" s="37"/>
    </row>
    <row r="186" spans="1:1">
      <c r="A186" s="37"/>
    </row>
    <row r="187" spans="1:1">
      <c r="A187" s="37"/>
    </row>
    <row r="188" spans="1:1">
      <c r="A188" s="37"/>
    </row>
    <row r="189" spans="1:1">
      <c r="A189" s="37"/>
    </row>
    <row r="190" spans="1:1">
      <c r="A190" s="37"/>
    </row>
    <row r="191" spans="1:1">
      <c r="A191" s="37"/>
    </row>
    <row r="192" spans="1:1">
      <c r="A192" s="37"/>
    </row>
    <row r="193" spans="1:1">
      <c r="A193" s="37"/>
    </row>
    <row r="194" spans="1:1">
      <c r="A194" s="37"/>
    </row>
    <row r="195" spans="1:1">
      <c r="A195" s="37"/>
    </row>
    <row r="196" spans="1:1">
      <c r="A196" s="37"/>
    </row>
    <row r="197" spans="1:1">
      <c r="A197" s="37"/>
    </row>
    <row r="198" spans="1:1">
      <c r="A198" s="37"/>
    </row>
    <row r="199" spans="1:1">
      <c r="A199" s="37"/>
    </row>
    <row r="200" spans="1:1">
      <c r="A200" s="37"/>
    </row>
    <row r="201" spans="1:1">
      <c r="A201" s="37"/>
    </row>
    <row r="202" spans="1:1">
      <c r="A202" s="37"/>
    </row>
    <row r="203" spans="1:1">
      <c r="A203" s="37"/>
    </row>
    <row r="204" spans="1:1">
      <c r="A204" s="37"/>
    </row>
    <row r="205" spans="1:1">
      <c r="A205" s="37"/>
    </row>
    <row r="206" spans="1:1">
      <c r="A206" s="37"/>
    </row>
    <row r="207" spans="1:1">
      <c r="A207" s="37"/>
    </row>
    <row r="208" spans="1:1">
      <c r="A208" s="37"/>
    </row>
    <row r="209" spans="1:1">
      <c r="A209" s="37"/>
    </row>
    <row r="210" spans="1:1">
      <c r="A210" s="37"/>
    </row>
    <row r="211" spans="1:1">
      <c r="A211" s="37"/>
    </row>
    <row r="212" spans="1:1">
      <c r="A212" s="37"/>
    </row>
    <row r="213" spans="1:1">
      <c r="A213" s="37"/>
    </row>
    <row r="214" spans="1:1">
      <c r="A214" s="37"/>
    </row>
    <row r="215" spans="1:1">
      <c r="A215" s="37"/>
    </row>
    <row r="216" spans="1:1">
      <c r="A216" s="37"/>
    </row>
    <row r="217" spans="1:1">
      <c r="A217" s="37"/>
    </row>
    <row r="218" spans="1:1">
      <c r="A218" s="37"/>
    </row>
    <row r="219" spans="1:1">
      <c r="A219" s="37"/>
    </row>
    <row r="220" spans="1:1">
      <c r="A220" s="37"/>
    </row>
    <row r="221" spans="1:1">
      <c r="A221" s="37"/>
    </row>
    <row r="222" spans="1:1">
      <c r="A222" s="37"/>
    </row>
    <row r="223" spans="1:1">
      <c r="A223" s="37"/>
    </row>
    <row r="224" spans="1:1">
      <c r="A224" s="37"/>
    </row>
    <row r="225" spans="1:1">
      <c r="A225" s="37"/>
    </row>
    <row r="226" spans="1:1">
      <c r="A226" s="37"/>
    </row>
    <row r="227" spans="1:1">
      <c r="A227" s="37"/>
    </row>
    <row r="228" spans="1:1">
      <c r="A228" s="37"/>
    </row>
    <row r="229" spans="1:1">
      <c r="A229" s="37"/>
    </row>
    <row r="230" spans="1:1">
      <c r="A230" s="37"/>
    </row>
    <row r="231" spans="1:1">
      <c r="A231" s="37"/>
    </row>
    <row r="232" spans="1:1">
      <c r="A232" s="37"/>
    </row>
    <row r="233" spans="1:1">
      <c r="A233" s="37"/>
    </row>
    <row r="234" spans="1:1">
      <c r="A234" s="37"/>
    </row>
    <row r="235" spans="1:1">
      <c r="A235" s="37"/>
    </row>
    <row r="236" spans="1:1">
      <c r="A236" s="37"/>
    </row>
    <row r="237" spans="1:1">
      <c r="A237" s="37"/>
    </row>
    <row r="238" spans="1:1">
      <c r="A238" s="37"/>
    </row>
    <row r="239" spans="1:1">
      <c r="A239" s="37"/>
    </row>
    <row r="240" spans="1:1">
      <c r="A240" s="37"/>
    </row>
    <row r="241" spans="1:1">
      <c r="A241" s="37"/>
    </row>
    <row r="242" spans="1:1">
      <c r="A242" s="37"/>
    </row>
    <row r="243" spans="1:1">
      <c r="A243" s="37"/>
    </row>
    <row r="244" spans="1:1">
      <c r="A244" s="37"/>
    </row>
    <row r="245" spans="1:1">
      <c r="A245" s="37"/>
    </row>
    <row r="246" spans="1:1">
      <c r="A246" s="37"/>
    </row>
    <row r="247" spans="1:1">
      <c r="A247" s="37"/>
    </row>
    <row r="248" spans="1:1">
      <c r="A248" s="37"/>
    </row>
    <row r="249" spans="1:1">
      <c r="A249" s="37"/>
    </row>
    <row r="250" spans="1:1">
      <c r="A250" s="37"/>
    </row>
    <row r="251" spans="1:1">
      <c r="A251" s="37"/>
    </row>
    <row r="252" spans="1:1">
      <c r="A252" s="37"/>
    </row>
    <row r="253" spans="1:1">
      <c r="A253" s="37"/>
    </row>
    <row r="254" spans="1:1">
      <c r="A254" s="37"/>
    </row>
    <row r="255" spans="1:1">
      <c r="A255" s="37"/>
    </row>
    <row r="256" spans="1:1">
      <c r="A256" s="37"/>
    </row>
    <row r="257" spans="1:1">
      <c r="A257" s="37"/>
    </row>
    <row r="258" spans="1:1">
      <c r="A258" s="37"/>
    </row>
    <row r="259" spans="1:1">
      <c r="A259" s="37"/>
    </row>
    <row r="260" spans="1:1">
      <c r="A260" s="37"/>
    </row>
    <row r="261" spans="1:1">
      <c r="A261" s="37"/>
    </row>
    <row r="262" spans="1:1">
      <c r="A262" s="37"/>
    </row>
    <row r="263" spans="1:1">
      <c r="A263" s="37"/>
    </row>
    <row r="264" spans="1:1">
      <c r="A264" s="37"/>
    </row>
    <row r="265" spans="1:1">
      <c r="A265" s="37"/>
    </row>
    <row r="266" spans="1:1">
      <c r="A266" s="37"/>
    </row>
    <row r="267" spans="1:1">
      <c r="A267" s="37"/>
    </row>
    <row r="268" spans="1:1">
      <c r="A268" s="37"/>
    </row>
    <row r="269" spans="1:1">
      <c r="A269" s="37"/>
    </row>
    <row r="270" spans="1:1">
      <c r="A270" s="37"/>
    </row>
    <row r="271" spans="1:1">
      <c r="A271" s="37"/>
    </row>
    <row r="272" spans="1:1">
      <c r="A272" s="37"/>
    </row>
    <row r="273" spans="1:1">
      <c r="A273" s="37"/>
    </row>
    <row r="274" spans="1:1">
      <c r="A274" s="37"/>
    </row>
    <row r="275" spans="1:1">
      <c r="A275" s="37"/>
    </row>
    <row r="276" spans="1:1">
      <c r="A276" s="37"/>
    </row>
    <row r="277" spans="1:1">
      <c r="A277" s="37"/>
    </row>
    <row r="278" spans="1:1">
      <c r="A278" s="37"/>
    </row>
    <row r="279" spans="1:1">
      <c r="A279" s="37"/>
    </row>
    <row r="280" spans="1:1">
      <c r="A280" s="37"/>
    </row>
    <row r="281" spans="1:1">
      <c r="A281" s="37"/>
    </row>
    <row r="282" spans="1:1">
      <c r="A282" s="37"/>
    </row>
    <row r="283" spans="1:1">
      <c r="A283" s="37"/>
    </row>
    <row r="284" spans="1:1">
      <c r="A284" s="37"/>
    </row>
    <row r="285" spans="1:1">
      <c r="A285" s="37"/>
    </row>
    <row r="286" spans="1:1">
      <c r="A286" s="37"/>
    </row>
    <row r="287" spans="1:1">
      <c r="A287" s="37"/>
    </row>
    <row r="288" spans="1:1">
      <c r="A288" s="37"/>
    </row>
    <row r="289" spans="1:1">
      <c r="A289" s="37"/>
    </row>
    <row r="290" spans="1:1">
      <c r="A290" s="37"/>
    </row>
    <row r="291" spans="1:1">
      <c r="A291" s="37"/>
    </row>
    <row r="292" spans="1:1">
      <c r="A292" s="37"/>
    </row>
    <row r="293" spans="1:1">
      <c r="A293" s="37"/>
    </row>
    <row r="294" spans="1:1">
      <c r="A294" s="37"/>
    </row>
    <row r="295" spans="1:1">
      <c r="A295" s="37"/>
    </row>
    <row r="296" spans="1:1">
      <c r="A296" s="37"/>
    </row>
    <row r="297" spans="1:1">
      <c r="A297" s="37"/>
    </row>
    <row r="298" spans="1:1">
      <c r="A298" s="37"/>
    </row>
    <row r="299" spans="1:1">
      <c r="A299" s="37"/>
    </row>
    <row r="300" spans="1:1">
      <c r="A300" s="37"/>
    </row>
    <row r="301" spans="1:1">
      <c r="A301" s="37"/>
    </row>
    <row r="302" spans="1:1">
      <c r="A302" s="37"/>
    </row>
    <row r="303" spans="1:1">
      <c r="A303" s="37"/>
    </row>
    <row r="304" spans="1:1">
      <c r="A304" s="37"/>
    </row>
    <row r="305" spans="1:1">
      <c r="A305" s="37"/>
    </row>
    <row r="306" spans="1:1">
      <c r="A306" s="37"/>
    </row>
    <row r="307" spans="1:1">
      <c r="A307" s="37"/>
    </row>
    <row r="308" spans="1:1">
      <c r="A308" s="37"/>
    </row>
    <row r="309" spans="1:1">
      <c r="A309" s="37"/>
    </row>
    <row r="310" spans="1:1">
      <c r="A310" s="37"/>
    </row>
    <row r="311" spans="1:1">
      <c r="A311" s="37"/>
    </row>
    <row r="312" spans="1:1">
      <c r="A312" s="37"/>
    </row>
    <row r="313" spans="1:1">
      <c r="A313" s="37"/>
    </row>
    <row r="314" spans="1:1">
      <c r="A314" s="37"/>
    </row>
    <row r="315" spans="1:1">
      <c r="A315" s="37"/>
    </row>
    <row r="316" spans="1:1">
      <c r="A316" s="37"/>
    </row>
    <row r="317" spans="1:1">
      <c r="A317" s="37"/>
    </row>
    <row r="318" spans="1:1">
      <c r="A318" s="37"/>
    </row>
    <row r="319" spans="1:1">
      <c r="A319" s="37"/>
    </row>
    <row r="320" spans="1:1">
      <c r="A320" s="37"/>
    </row>
    <row r="321" spans="1:1">
      <c r="A321" s="37"/>
    </row>
    <row r="322" spans="1:1">
      <c r="A322" s="37"/>
    </row>
    <row r="323" spans="1:1">
      <c r="A323" s="37"/>
    </row>
    <row r="324" spans="1:1">
      <c r="A324" s="37"/>
    </row>
    <row r="325" spans="1:1">
      <c r="A325" s="37"/>
    </row>
    <row r="326" spans="1:1">
      <c r="A326" s="37"/>
    </row>
    <row r="327" spans="1:1">
      <c r="A327" s="37"/>
    </row>
    <row r="328" spans="1:1">
      <c r="A328" s="37"/>
    </row>
    <row r="329" spans="1:1">
      <c r="A329" s="37"/>
    </row>
    <row r="330" spans="1:1">
      <c r="A330" s="37"/>
    </row>
    <row r="331" spans="1:1">
      <c r="A331" s="37"/>
    </row>
    <row r="332" spans="1:1">
      <c r="A332" s="37"/>
    </row>
    <row r="333" spans="1:1">
      <c r="A333" s="37"/>
    </row>
    <row r="334" spans="1:1">
      <c r="A334" s="37"/>
    </row>
    <row r="335" spans="1:1">
      <c r="A335" s="37"/>
    </row>
  </sheetData>
  <mergeCells count="12">
    <mergeCell ref="A1:G1"/>
    <mergeCell ref="C110:E110"/>
    <mergeCell ref="A6:G6"/>
    <mergeCell ref="F109:G109"/>
    <mergeCell ref="G7:G9"/>
    <mergeCell ref="A3:A4"/>
    <mergeCell ref="B3:B4"/>
    <mergeCell ref="C3:F3"/>
    <mergeCell ref="G3:G4"/>
    <mergeCell ref="G18:G19"/>
    <mergeCell ref="G39:G40"/>
    <mergeCell ref="G51:G52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65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9FF66"/>
  </sheetPr>
  <dimension ref="A1:J337"/>
  <sheetViews>
    <sheetView view="pageBreakPreview" zoomScale="84" zoomScaleNormal="75" zoomScaleSheetLayoutView="84" workbookViewId="0">
      <selection activeCell="F11" sqref="F11"/>
    </sheetView>
  </sheetViews>
  <sheetFormatPr defaultRowHeight="18.75" outlineLevelCol="1"/>
  <cols>
    <col min="1" max="1" width="50" style="3" customWidth="1"/>
    <col min="2" max="2" width="9.140625" style="21" customWidth="1"/>
    <col min="3" max="3" width="10.7109375" style="21" hidden="1" customWidth="1" outlineLevel="1"/>
    <col min="4" max="5" width="12.140625" style="21" hidden="1" customWidth="1" outlineLevel="1"/>
    <col min="6" max="6" width="11.7109375" style="3" customWidth="1" collapsed="1"/>
    <col min="7" max="7" width="11.42578125" style="3" customWidth="1"/>
    <col min="8" max="8" width="11.7109375" style="3" customWidth="1"/>
    <col min="9" max="9" width="10.7109375" style="3" customWidth="1"/>
    <col min="10" max="10" width="12.85546875" style="3" customWidth="1"/>
    <col min="11" max="16384" width="9.140625" style="3"/>
  </cols>
  <sheetData>
    <row r="1" spans="1:10" ht="20.25">
      <c r="A1" s="575" t="s">
        <v>189</v>
      </c>
      <c r="B1" s="575"/>
      <c r="C1" s="575"/>
      <c r="D1" s="575"/>
      <c r="E1" s="575"/>
      <c r="F1" s="575"/>
      <c r="G1" s="575"/>
      <c r="H1" s="575"/>
      <c r="I1" s="575"/>
      <c r="J1" s="575"/>
    </row>
    <row r="2" spans="1:10">
      <c r="A2" s="152"/>
      <c r="B2" s="73"/>
      <c r="C2" s="152"/>
      <c r="D2" s="152"/>
      <c r="E2" s="152"/>
      <c r="F2" s="152"/>
      <c r="G2" s="152"/>
      <c r="H2" s="152"/>
      <c r="I2" s="152"/>
      <c r="J2" s="152"/>
    </row>
    <row r="3" spans="1:10" ht="36" customHeight="1">
      <c r="A3" s="561" t="s">
        <v>186</v>
      </c>
      <c r="B3" s="567" t="s">
        <v>5</v>
      </c>
      <c r="C3" s="590" t="s">
        <v>381</v>
      </c>
      <c r="D3" s="567" t="s">
        <v>382</v>
      </c>
      <c r="E3" s="594" t="s">
        <v>383</v>
      </c>
      <c r="F3" s="594" t="s">
        <v>411</v>
      </c>
      <c r="G3" s="568" t="s">
        <v>271</v>
      </c>
      <c r="H3" s="568"/>
      <c r="I3" s="568"/>
      <c r="J3" s="568"/>
    </row>
    <row r="4" spans="1:10" ht="61.5" customHeight="1">
      <c r="A4" s="561"/>
      <c r="B4" s="567"/>
      <c r="C4" s="591"/>
      <c r="D4" s="567"/>
      <c r="E4" s="594"/>
      <c r="F4" s="594"/>
      <c r="G4" s="224" t="s">
        <v>144</v>
      </c>
      <c r="H4" s="224" t="s">
        <v>145</v>
      </c>
      <c r="I4" s="224" t="s">
        <v>146</v>
      </c>
      <c r="J4" s="224" t="s">
        <v>55</v>
      </c>
    </row>
    <row r="5" spans="1:10" ht="18" customHeight="1">
      <c r="A5" s="113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</row>
    <row r="6" spans="1:10" s="5" customFormat="1" ht="20.100000000000001" customHeight="1">
      <c r="A6" s="577" t="s">
        <v>229</v>
      </c>
      <c r="B6" s="577"/>
      <c r="C6" s="577"/>
      <c r="D6" s="577"/>
      <c r="E6" s="577"/>
      <c r="F6" s="577"/>
      <c r="G6" s="577"/>
      <c r="H6" s="577"/>
      <c r="I6" s="577"/>
      <c r="J6" s="577"/>
    </row>
    <row r="7" spans="1:10" s="5" customFormat="1" ht="45.75" customHeight="1">
      <c r="A7" s="218" t="s">
        <v>380</v>
      </c>
      <c r="B7" s="60">
        <v>1000</v>
      </c>
      <c r="C7" s="217">
        <f>C8+C9+C10</f>
        <v>12310.8</v>
      </c>
      <c r="D7" s="217">
        <f>D8+D10</f>
        <v>13247.1</v>
      </c>
      <c r="E7" s="217">
        <f t="shared" ref="E7:J7" si="0">E8+E10</f>
        <v>13698.4</v>
      </c>
      <c r="F7" s="217">
        <f t="shared" si="0"/>
        <v>19544.599999999999</v>
      </c>
      <c r="G7" s="217">
        <f t="shared" si="0"/>
        <v>4115</v>
      </c>
      <c r="H7" s="217">
        <f t="shared" si="0"/>
        <v>4807.7</v>
      </c>
      <c r="I7" s="217">
        <f t="shared" si="0"/>
        <v>5101.3999999999996</v>
      </c>
      <c r="J7" s="217">
        <f t="shared" si="0"/>
        <v>5520.5</v>
      </c>
    </row>
    <row r="8" spans="1:10" s="260" customFormat="1" ht="20.100000000000001" customHeight="1">
      <c r="A8" s="266" t="s">
        <v>232</v>
      </c>
      <c r="B8" s="259">
        <v>1010</v>
      </c>
      <c r="C8" s="98">
        <v>9586.2999999999993</v>
      </c>
      <c r="D8" s="98">
        <v>9642</v>
      </c>
      <c r="E8" s="98">
        <v>10096</v>
      </c>
      <c r="F8" s="98">
        <f>G8+H8+I8+J8</f>
        <v>14346.3</v>
      </c>
      <c r="G8" s="442">
        <v>3508.3</v>
      </c>
      <c r="H8" s="442">
        <v>3576.2</v>
      </c>
      <c r="I8" s="442">
        <v>3539</v>
      </c>
      <c r="J8" s="442">
        <v>3722.7999999999997</v>
      </c>
    </row>
    <row r="9" spans="1:10" s="260" customFormat="1" ht="20.100000000000001" customHeight="1">
      <c r="A9" s="266" t="s">
        <v>233</v>
      </c>
      <c r="B9" s="259">
        <v>1011</v>
      </c>
      <c r="C9" s="258"/>
      <c r="D9" s="98"/>
      <c r="E9" s="258"/>
      <c r="F9" s="416"/>
      <c r="G9" s="416"/>
      <c r="H9" s="416"/>
      <c r="I9" s="416"/>
      <c r="J9" s="416"/>
    </row>
    <row r="10" spans="1:10" s="260" customFormat="1" ht="20.100000000000001" customHeight="1">
      <c r="A10" s="266" t="s">
        <v>234</v>
      </c>
      <c r="B10" s="259">
        <v>1012</v>
      </c>
      <c r="C10" s="98">
        <v>2724.5</v>
      </c>
      <c r="D10" s="98">
        <v>3605.1</v>
      </c>
      <c r="E10" s="258">
        <v>3602.4</v>
      </c>
      <c r="F10" s="98">
        <f>G10+H10+I10+J10</f>
        <v>5198.3</v>
      </c>
      <c r="G10" s="442">
        <v>606.70000000000005</v>
      </c>
      <c r="H10" s="442">
        <v>1231.5</v>
      </c>
      <c r="I10" s="442">
        <v>1562.4</v>
      </c>
      <c r="J10" s="442">
        <v>1797.7</v>
      </c>
    </row>
    <row r="11" spans="1:10" s="260" customFormat="1" ht="20.100000000000001" customHeight="1">
      <c r="A11" s="266" t="s">
        <v>230</v>
      </c>
      <c r="B11" s="259">
        <v>1020</v>
      </c>
      <c r="C11" s="98">
        <v>296.8</v>
      </c>
      <c r="D11" s="98">
        <v>285</v>
      </c>
      <c r="E11" s="98">
        <v>288</v>
      </c>
      <c r="F11" s="98">
        <f>G11+H11+I11+J11</f>
        <v>569.21</v>
      </c>
      <c r="G11" s="442">
        <v>58</v>
      </c>
      <c r="H11" s="442">
        <v>159.30000000000001</v>
      </c>
      <c r="I11" s="442">
        <v>169</v>
      </c>
      <c r="J11" s="442">
        <v>182.91</v>
      </c>
    </row>
    <row r="12" spans="1:10" s="260" customFormat="1" ht="39.75" customHeight="1">
      <c r="A12" s="266" t="s">
        <v>231</v>
      </c>
      <c r="B12" s="259">
        <v>1030</v>
      </c>
      <c r="C12" s="67"/>
      <c r="D12" s="259"/>
      <c r="E12" s="67"/>
      <c r="F12" s="67"/>
      <c r="G12" s="67"/>
      <c r="H12" s="67"/>
      <c r="I12" s="67"/>
      <c r="J12" s="67"/>
    </row>
    <row r="13" spans="1:10" s="5" customFormat="1" ht="74.25" customHeight="1">
      <c r="A13" s="218" t="s">
        <v>87</v>
      </c>
      <c r="B13" s="153">
        <v>1040</v>
      </c>
      <c r="C13" s="82">
        <f t="shared" ref="C13:I13" si="1">C7-C11-C12</f>
        <v>12014</v>
      </c>
      <c r="D13" s="82">
        <f t="shared" si="1"/>
        <v>12962.1</v>
      </c>
      <c r="E13" s="82">
        <f t="shared" si="1"/>
        <v>13410.4</v>
      </c>
      <c r="F13" s="82">
        <f t="shared" si="1"/>
        <v>18975.39</v>
      </c>
      <c r="G13" s="82">
        <f>G7-G11-G12</f>
        <v>4057</v>
      </c>
      <c r="H13" s="82">
        <f t="shared" si="1"/>
        <v>4648.3999999999996</v>
      </c>
      <c r="I13" s="82">
        <f t="shared" si="1"/>
        <v>4932.3999999999996</v>
      </c>
      <c r="J13" s="82">
        <f>J7-J11-J12</f>
        <v>5337.59</v>
      </c>
    </row>
    <row r="14" spans="1:10" ht="41.25" customHeight="1">
      <c r="A14" s="9" t="s">
        <v>101</v>
      </c>
      <c r="B14" s="153">
        <v>1050</v>
      </c>
      <c r="C14" s="172">
        <v>9815</v>
      </c>
      <c r="D14" s="172">
        <f>SUM(D15:D22)</f>
        <v>10124.1</v>
      </c>
      <c r="E14" s="172">
        <f t="shared" ref="E14" si="2">E15+E16+E17+E18+E19+E21+E22</f>
        <v>10537.518</v>
      </c>
      <c r="F14" s="172">
        <f>G14+H14+I14+J14</f>
        <v>15279.897999999999</v>
      </c>
      <c r="G14" s="172">
        <f>G15+G16+G17+G18+G19+G21+G22</f>
        <v>3201.9999999999995</v>
      </c>
      <c r="H14" s="172">
        <f t="shared" ref="H14:J14" si="3">H15+H16+H17+H18+H19+H21+H22</f>
        <v>3858.3</v>
      </c>
      <c r="I14" s="172">
        <f>I15+I16+I17+I18+I19+I20+I21+I22</f>
        <v>3918.33</v>
      </c>
      <c r="J14" s="172">
        <f t="shared" si="3"/>
        <v>4301.268</v>
      </c>
    </row>
    <row r="15" spans="1:10" s="2" customFormat="1" ht="34.5" customHeight="1">
      <c r="A15" s="8" t="s">
        <v>202</v>
      </c>
      <c r="B15" s="111">
        <v>1051</v>
      </c>
      <c r="C15" s="261">
        <v>2209.8000000000002</v>
      </c>
      <c r="D15" s="261">
        <v>1855.2</v>
      </c>
      <c r="E15" s="261">
        <v>1799.5</v>
      </c>
      <c r="F15" s="422">
        <f>G15+H15+I15+J15</f>
        <v>2577.5</v>
      </c>
      <c r="G15" s="422">
        <v>631.1</v>
      </c>
      <c r="H15" s="422">
        <v>616.6</v>
      </c>
      <c r="I15" s="422">
        <v>655</v>
      </c>
      <c r="J15" s="422">
        <v>674.8</v>
      </c>
    </row>
    <row r="16" spans="1:10" s="2" customFormat="1" ht="20.100000000000001" customHeight="1">
      <c r="A16" s="8" t="s">
        <v>48</v>
      </c>
      <c r="B16" s="111">
        <v>1052</v>
      </c>
      <c r="C16" s="261">
        <v>1848.7</v>
      </c>
      <c r="D16" s="261">
        <v>1368.6</v>
      </c>
      <c r="E16" s="261">
        <v>1550</v>
      </c>
      <c r="F16" s="422">
        <f>G16+H16+I16+J16</f>
        <v>2479</v>
      </c>
      <c r="G16" s="422">
        <v>500.2</v>
      </c>
      <c r="H16" s="422">
        <v>625.79999999999995</v>
      </c>
      <c r="I16" s="422">
        <v>680</v>
      </c>
      <c r="J16" s="422">
        <v>673</v>
      </c>
    </row>
    <row r="17" spans="1:10" s="2" customFormat="1" ht="20.100000000000001" customHeight="1">
      <c r="A17" s="8" t="s">
        <v>47</v>
      </c>
      <c r="B17" s="111">
        <v>1053</v>
      </c>
      <c r="C17" s="261">
        <v>94.7</v>
      </c>
      <c r="D17" s="261">
        <v>135.1</v>
      </c>
      <c r="E17" s="261">
        <v>94</v>
      </c>
      <c r="F17" s="422">
        <f>G17+H17+I17+J17</f>
        <v>146.1</v>
      </c>
      <c r="G17" s="422">
        <v>50.6</v>
      </c>
      <c r="H17" s="422">
        <v>14.499999999999993</v>
      </c>
      <c r="I17" s="422">
        <v>23.9</v>
      </c>
      <c r="J17" s="422">
        <v>57.1</v>
      </c>
    </row>
    <row r="18" spans="1:10" s="2" customFormat="1" ht="20.100000000000001" customHeight="1">
      <c r="A18" s="8" t="s">
        <v>23</v>
      </c>
      <c r="B18" s="111">
        <v>1054</v>
      </c>
      <c r="C18" s="261">
        <v>4027.9</v>
      </c>
      <c r="D18" s="261">
        <v>5073.1000000000004</v>
      </c>
      <c r="E18" s="261">
        <v>5306.9</v>
      </c>
      <c r="F18" s="422">
        <f>G18+H18+I18+J18</f>
        <v>7496.2000000000007</v>
      </c>
      <c r="G18" s="422">
        <v>1576.5</v>
      </c>
      <c r="H18" s="422">
        <v>1723.8000000000002</v>
      </c>
      <c r="I18" s="422">
        <v>1926.5</v>
      </c>
      <c r="J18" s="422">
        <v>2269.4</v>
      </c>
    </row>
    <row r="19" spans="1:10" s="2" customFormat="1" ht="20.100000000000001" customHeight="1">
      <c r="A19" s="8" t="s">
        <v>24</v>
      </c>
      <c r="B19" s="111">
        <v>1055</v>
      </c>
      <c r="C19" s="261">
        <v>858.6</v>
      </c>
      <c r="D19" s="261">
        <v>1116.0999999999999</v>
      </c>
      <c r="E19" s="261">
        <f t="shared" ref="E19:F19" si="4">E18*0.22</f>
        <v>1167.518</v>
      </c>
      <c r="F19" s="422">
        <f t="shared" si="4"/>
        <v>1649.1640000000002</v>
      </c>
      <c r="G19" s="422">
        <v>334.7</v>
      </c>
      <c r="H19" s="422">
        <v>365.40000000000003</v>
      </c>
      <c r="I19" s="422">
        <v>423.83</v>
      </c>
      <c r="J19" s="422">
        <v>499.26800000000003</v>
      </c>
    </row>
    <row r="20" spans="1:10" s="2" customFormat="1" ht="48" customHeight="1">
      <c r="A20" s="67" t="s">
        <v>182</v>
      </c>
      <c r="B20" s="111">
        <v>1056</v>
      </c>
      <c r="C20" s="367"/>
      <c r="D20" s="367"/>
      <c r="E20" s="367"/>
      <c r="F20" s="422">
        <f>G20+H20+I20+J20</f>
        <v>20.100000000000001</v>
      </c>
      <c r="G20" s="422">
        <v>0</v>
      </c>
      <c r="H20" s="443">
        <v>0</v>
      </c>
      <c r="I20" s="422">
        <v>20.100000000000001</v>
      </c>
      <c r="J20" s="422">
        <v>0</v>
      </c>
    </row>
    <row r="21" spans="1:10" s="2" customFormat="1" ht="36.75" customHeight="1">
      <c r="A21" s="8" t="s">
        <v>46</v>
      </c>
      <c r="B21" s="111">
        <v>1057</v>
      </c>
      <c r="C21" s="261">
        <v>246.8</v>
      </c>
      <c r="D21" s="261">
        <v>194</v>
      </c>
      <c r="E21" s="261">
        <v>190</v>
      </c>
      <c r="F21" s="422">
        <f>G21+H21+I21+J21</f>
        <v>232.2</v>
      </c>
      <c r="G21" s="422">
        <v>59.6</v>
      </c>
      <c r="H21" s="422">
        <v>35.6</v>
      </c>
      <c r="I21" s="422">
        <v>68.5</v>
      </c>
      <c r="J21" s="422">
        <v>68.5</v>
      </c>
    </row>
    <row r="22" spans="1:10" s="2" customFormat="1" ht="20.100000000000001" customHeight="1">
      <c r="A22" s="8" t="s">
        <v>290</v>
      </c>
      <c r="B22" s="111">
        <v>1058</v>
      </c>
      <c r="C22" s="367">
        <f t="shared" ref="C22:J22" si="5">C23+C24+C25+C26+C27+C28</f>
        <v>528.5</v>
      </c>
      <c r="D22" s="367">
        <f t="shared" si="5"/>
        <v>382</v>
      </c>
      <c r="E22" s="367">
        <f t="shared" si="5"/>
        <v>429.6</v>
      </c>
      <c r="F22" s="420">
        <f t="shared" si="5"/>
        <v>705.59999999999991</v>
      </c>
      <c r="G22" s="443">
        <f t="shared" si="5"/>
        <v>49.3</v>
      </c>
      <c r="H22" s="443">
        <f t="shared" si="5"/>
        <v>476.6</v>
      </c>
      <c r="I22" s="443">
        <f t="shared" si="5"/>
        <v>120.5</v>
      </c>
      <c r="J22" s="443">
        <f t="shared" si="5"/>
        <v>59.2</v>
      </c>
    </row>
    <row r="23" spans="1:10" s="405" customFormat="1" ht="20.100000000000001" customHeight="1">
      <c r="A23" s="274" t="s">
        <v>291</v>
      </c>
      <c r="B23" s="271" t="s">
        <v>339</v>
      </c>
      <c r="C23" s="268">
        <v>134.5</v>
      </c>
      <c r="D23" s="268">
        <v>144.30000000000001</v>
      </c>
      <c r="E23" s="268">
        <v>120</v>
      </c>
      <c r="F23" s="268">
        <f t="shared" ref="F23:F28" si="6">G23+H23+I23+J23</f>
        <v>171.89999999999998</v>
      </c>
      <c r="G23" s="268">
        <v>1</v>
      </c>
      <c r="H23" s="268">
        <v>52.9</v>
      </c>
      <c r="I23" s="268">
        <v>79.3</v>
      </c>
      <c r="J23" s="268">
        <v>38.700000000000003</v>
      </c>
    </row>
    <row r="24" spans="1:10" s="405" customFormat="1" ht="20.100000000000001" customHeight="1">
      <c r="A24" s="274" t="s">
        <v>292</v>
      </c>
      <c r="B24" s="271" t="s">
        <v>340</v>
      </c>
      <c r="C24" s="268">
        <v>4.8</v>
      </c>
      <c r="D24" s="268">
        <v>4.8</v>
      </c>
      <c r="E24" s="268">
        <v>5</v>
      </c>
      <c r="F24" s="268">
        <f t="shared" si="6"/>
        <v>7.1999999999999993</v>
      </c>
      <c r="G24" s="268">
        <v>1.9</v>
      </c>
      <c r="H24" s="268">
        <v>1.3000000000000003</v>
      </c>
      <c r="I24" s="268">
        <v>1.4</v>
      </c>
      <c r="J24" s="268">
        <v>2.6</v>
      </c>
    </row>
    <row r="25" spans="1:10" s="405" customFormat="1" ht="20.100000000000001" customHeight="1">
      <c r="A25" s="274" t="s">
        <v>293</v>
      </c>
      <c r="B25" s="271" t="s">
        <v>341</v>
      </c>
      <c r="C25" s="268">
        <v>133.30000000000001</v>
      </c>
      <c r="D25" s="268">
        <v>140</v>
      </c>
      <c r="E25" s="268">
        <v>204.6</v>
      </c>
      <c r="F25" s="268">
        <f t="shared" si="6"/>
        <v>311.5</v>
      </c>
      <c r="G25" s="268">
        <v>0</v>
      </c>
      <c r="H25" s="268">
        <v>311.5</v>
      </c>
      <c r="I25" s="268">
        <v>0</v>
      </c>
      <c r="J25" s="268">
        <v>0</v>
      </c>
    </row>
    <row r="26" spans="1:10" s="405" customFormat="1" ht="20.100000000000001" customHeight="1">
      <c r="A26" s="274" t="s">
        <v>294</v>
      </c>
      <c r="B26" s="271" t="s">
        <v>342</v>
      </c>
      <c r="C26" s="268">
        <v>19</v>
      </c>
      <c r="D26" s="268">
        <v>38</v>
      </c>
      <c r="E26" s="268">
        <v>38</v>
      </c>
      <c r="F26" s="268">
        <f t="shared" si="6"/>
        <v>72.199999999999989</v>
      </c>
      <c r="G26" s="268">
        <v>2.4</v>
      </c>
      <c r="H26" s="268">
        <v>33</v>
      </c>
      <c r="I26" s="268">
        <v>34.799999999999997</v>
      </c>
      <c r="J26" s="268">
        <v>2</v>
      </c>
    </row>
    <row r="27" spans="1:10" s="405" customFormat="1" ht="20.100000000000001" customHeight="1">
      <c r="A27" s="274" t="s">
        <v>295</v>
      </c>
      <c r="B27" s="271" t="s">
        <v>343</v>
      </c>
      <c r="C27" s="268">
        <v>20.2</v>
      </c>
      <c r="D27" s="268">
        <v>34.9</v>
      </c>
      <c r="E27" s="268">
        <v>40</v>
      </c>
      <c r="F27" s="268">
        <f t="shared" si="6"/>
        <v>36.5</v>
      </c>
      <c r="G27" s="268">
        <v>29</v>
      </c>
      <c r="H27" s="268">
        <v>0.30000000000000071</v>
      </c>
      <c r="I27" s="268">
        <v>0</v>
      </c>
      <c r="J27" s="268">
        <v>7.2</v>
      </c>
    </row>
    <row r="28" spans="1:10" s="405" customFormat="1" ht="20.100000000000001" customHeight="1">
      <c r="A28" s="274" t="s">
        <v>247</v>
      </c>
      <c r="B28" s="271" t="s">
        <v>344</v>
      </c>
      <c r="C28" s="268">
        <v>216.7</v>
      </c>
      <c r="D28" s="268">
        <v>20</v>
      </c>
      <c r="E28" s="268">
        <v>22</v>
      </c>
      <c r="F28" s="268">
        <f t="shared" si="6"/>
        <v>106.3</v>
      </c>
      <c r="G28" s="268">
        <v>15</v>
      </c>
      <c r="H28" s="268">
        <v>77.599999999999994</v>
      </c>
      <c r="I28" s="268">
        <v>5</v>
      </c>
      <c r="J28" s="268">
        <v>8.6999999999999993</v>
      </c>
    </row>
    <row r="29" spans="1:10" s="76" customFormat="1" ht="49.5" customHeight="1">
      <c r="A29" s="75" t="s">
        <v>307</v>
      </c>
      <c r="B29" s="155">
        <v>1060</v>
      </c>
      <c r="C29" s="170">
        <f t="shared" ref="C29:J29" si="7">C13-C14</f>
        <v>2199</v>
      </c>
      <c r="D29" s="170">
        <f t="shared" si="7"/>
        <v>2838</v>
      </c>
      <c r="E29" s="170">
        <f t="shared" si="7"/>
        <v>2872.8819999999996</v>
      </c>
      <c r="F29" s="170">
        <f t="shared" si="7"/>
        <v>3695.4920000000002</v>
      </c>
      <c r="G29" s="170">
        <f>G13-G14</f>
        <v>855.00000000000045</v>
      </c>
      <c r="H29" s="170">
        <f t="shared" si="7"/>
        <v>790.09999999999945</v>
      </c>
      <c r="I29" s="170">
        <f t="shared" si="7"/>
        <v>1014.0699999999997</v>
      </c>
      <c r="J29" s="170">
        <f t="shared" si="7"/>
        <v>1036.3220000000001</v>
      </c>
    </row>
    <row r="30" spans="1:10" ht="20.100000000000001" customHeight="1">
      <c r="A30" s="114"/>
      <c r="B30" s="153">
        <v>1070</v>
      </c>
      <c r="C30" s="154"/>
      <c r="D30" s="154"/>
      <c r="E30" s="154"/>
      <c r="F30" s="154"/>
      <c r="G30" s="154"/>
      <c r="H30" s="154"/>
      <c r="I30" s="154"/>
      <c r="J30" s="154"/>
    </row>
    <row r="31" spans="1:10" ht="20.100000000000001" customHeight="1">
      <c r="A31" s="9" t="s">
        <v>171</v>
      </c>
      <c r="B31" s="153">
        <v>1080</v>
      </c>
      <c r="C31" s="123">
        <f>SUM(C32:C53)</f>
        <v>1491.4</v>
      </c>
      <c r="D31" s="123">
        <f>D32+D36+D38+D39+D40+D41+D43+D53+D51</f>
        <v>1965.0000000000002</v>
      </c>
      <c r="E31" s="123">
        <f>E32+E38+E39+E40+E41+E43+E53+E36+E51</f>
        <v>1976.6220000000001</v>
      </c>
      <c r="F31" s="123">
        <f>F32+F38+F39+F40+F41+F43+F53+F36</f>
        <v>2769.8324799999996</v>
      </c>
      <c r="G31" s="123">
        <f>G32+G38+G39+G40+G41+G43+G53+G36</f>
        <v>613.5</v>
      </c>
      <c r="H31" s="123">
        <f>H32+H38+H39+H40+H41+H43+H53</f>
        <v>569.80000000000007</v>
      </c>
      <c r="I31" s="82">
        <f t="shared" ref="I31" si="8">ROUND((I32+I36+I37+I38+I39+I40+I41+I43+I50+I51),1)</f>
        <v>783.3</v>
      </c>
      <c r="J31" s="123">
        <f>J32+J38+J39+J40+J41+J43+J53+J36</f>
        <v>803.2132499999999</v>
      </c>
    </row>
    <row r="32" spans="1:10" s="260" customFormat="1" ht="34.5" customHeight="1">
      <c r="A32" s="8" t="s">
        <v>86</v>
      </c>
      <c r="B32" s="111">
        <v>1081</v>
      </c>
      <c r="C32" s="148">
        <v>161.19999999999999</v>
      </c>
      <c r="D32" s="148">
        <v>133.6</v>
      </c>
      <c r="E32" s="367">
        <v>150.4</v>
      </c>
      <c r="F32" s="420">
        <f>G32+H32+I32+J32</f>
        <v>254.00521999999998</v>
      </c>
      <c r="G32" s="420">
        <v>52</v>
      </c>
      <c r="H32" s="420">
        <v>50.099999999999994</v>
      </c>
      <c r="I32" s="420">
        <v>75.952609999999993</v>
      </c>
      <c r="J32" s="420">
        <v>75.952609999999993</v>
      </c>
    </row>
    <row r="33" spans="1:10" s="260" customFormat="1" ht="21.75" customHeight="1">
      <c r="A33" s="8" t="s">
        <v>161</v>
      </c>
      <c r="B33" s="111">
        <v>1082</v>
      </c>
      <c r="C33" s="148"/>
      <c r="D33" s="148"/>
      <c r="E33" s="367"/>
      <c r="F33" s="420"/>
      <c r="G33" s="268"/>
      <c r="H33" s="420"/>
      <c r="I33" s="420"/>
      <c r="J33" s="420"/>
    </row>
    <row r="34" spans="1:10" s="260" customFormat="1" ht="20.100000000000001" customHeight="1">
      <c r="A34" s="8" t="s">
        <v>45</v>
      </c>
      <c r="B34" s="111">
        <v>1083</v>
      </c>
      <c r="C34" s="148"/>
      <c r="D34" s="148"/>
      <c r="E34" s="367"/>
      <c r="F34" s="420"/>
      <c r="G34" s="268"/>
      <c r="H34" s="420"/>
      <c r="I34" s="420"/>
      <c r="J34" s="420"/>
    </row>
    <row r="35" spans="1:10" s="260" customFormat="1" ht="20.100000000000001" customHeight="1">
      <c r="A35" s="8" t="s">
        <v>7</v>
      </c>
      <c r="B35" s="111">
        <v>1084</v>
      </c>
      <c r="C35" s="148"/>
      <c r="D35" s="148"/>
      <c r="E35" s="367"/>
      <c r="F35" s="420"/>
      <c r="G35" s="268"/>
      <c r="H35" s="420"/>
      <c r="I35" s="420"/>
      <c r="J35" s="420"/>
    </row>
    <row r="36" spans="1:10" s="260" customFormat="1" ht="20.100000000000001" customHeight="1">
      <c r="A36" s="8" t="s">
        <v>8</v>
      </c>
      <c r="B36" s="111">
        <v>1085</v>
      </c>
      <c r="C36" s="148"/>
      <c r="D36" s="367">
        <v>50</v>
      </c>
      <c r="E36" s="367">
        <v>50</v>
      </c>
      <c r="F36" s="420">
        <v>0</v>
      </c>
      <c r="G36" s="444">
        <v>0</v>
      </c>
      <c r="H36" s="444">
        <v>0</v>
      </c>
      <c r="I36" s="444">
        <v>0</v>
      </c>
      <c r="J36" s="444">
        <v>0</v>
      </c>
    </row>
    <row r="37" spans="1:10" s="2" customFormat="1" ht="20.100000000000001" customHeight="1">
      <c r="A37" s="8" t="s">
        <v>21</v>
      </c>
      <c r="B37" s="111">
        <v>1086</v>
      </c>
      <c r="C37" s="367"/>
      <c r="D37" s="367"/>
      <c r="E37" s="367"/>
      <c r="F37" s="420"/>
      <c r="G37" s="444">
        <v>0</v>
      </c>
      <c r="H37" s="444">
        <v>0</v>
      </c>
      <c r="I37" s="444">
        <v>0</v>
      </c>
      <c r="J37" s="444">
        <v>0</v>
      </c>
    </row>
    <row r="38" spans="1:10" s="2" customFormat="1" ht="20.100000000000001" customHeight="1">
      <c r="A38" s="8" t="s">
        <v>22</v>
      </c>
      <c r="B38" s="111">
        <v>1087</v>
      </c>
      <c r="C38" s="367">
        <v>13.8</v>
      </c>
      <c r="D38" s="367">
        <v>14.4</v>
      </c>
      <c r="E38" s="367">
        <v>12</v>
      </c>
      <c r="F38" s="420">
        <f>G38+H38+I38+J38</f>
        <v>13.5</v>
      </c>
      <c r="G38" s="444">
        <v>3.5</v>
      </c>
      <c r="H38" s="444">
        <v>3</v>
      </c>
      <c r="I38" s="444">
        <v>3.5</v>
      </c>
      <c r="J38" s="444">
        <v>3.5</v>
      </c>
    </row>
    <row r="39" spans="1:10" s="2" customFormat="1" ht="20.100000000000001" customHeight="1">
      <c r="A39" s="8" t="s">
        <v>23</v>
      </c>
      <c r="B39" s="111">
        <v>1088</v>
      </c>
      <c r="C39" s="367">
        <v>977.1</v>
      </c>
      <c r="D39" s="367">
        <v>1220.5</v>
      </c>
      <c r="E39" s="367">
        <v>1225.0999999999999</v>
      </c>
      <c r="F39" s="420">
        <f>G39+H39+I39+J39</f>
        <v>1940.2829999999999</v>
      </c>
      <c r="G39" s="444">
        <v>430</v>
      </c>
      <c r="H39" s="444">
        <v>406.9</v>
      </c>
      <c r="I39" s="444">
        <v>544.07100000000003</v>
      </c>
      <c r="J39" s="444">
        <v>559.31200000000001</v>
      </c>
    </row>
    <row r="40" spans="1:10" s="2" customFormat="1" ht="20.100000000000001" customHeight="1">
      <c r="A40" s="8" t="s">
        <v>24</v>
      </c>
      <c r="B40" s="111">
        <v>1089</v>
      </c>
      <c r="C40" s="367">
        <v>225.9</v>
      </c>
      <c r="D40" s="367">
        <v>268.5</v>
      </c>
      <c r="E40" s="367">
        <f t="shared" ref="E40" si="9">E39*0.22</f>
        <v>269.52199999999999</v>
      </c>
      <c r="F40" s="420">
        <f>G40+H40+I40+J40</f>
        <v>428.44425999999999</v>
      </c>
      <c r="G40" s="444">
        <v>95</v>
      </c>
      <c r="H40" s="444">
        <v>90.699999999999989</v>
      </c>
      <c r="I40" s="420">
        <f t="shared" ref="I40" si="10">I39*0.22</f>
        <v>119.69562000000001</v>
      </c>
      <c r="J40" s="444">
        <v>123.04864000000001</v>
      </c>
    </row>
    <row r="41" spans="1:10" s="2" customFormat="1" ht="42" customHeight="1">
      <c r="A41" s="67" t="s">
        <v>25</v>
      </c>
      <c r="B41" s="111">
        <v>1090</v>
      </c>
      <c r="C41" s="367">
        <v>4.2</v>
      </c>
      <c r="D41" s="367">
        <v>4.4000000000000004</v>
      </c>
      <c r="E41" s="367">
        <v>4.4000000000000004</v>
      </c>
      <c r="F41" s="420">
        <f>G41+H41+I41+J41</f>
        <v>5.6</v>
      </c>
      <c r="G41" s="420">
        <v>0.9</v>
      </c>
      <c r="H41" s="420">
        <v>0.9</v>
      </c>
      <c r="I41" s="420">
        <v>2</v>
      </c>
      <c r="J41" s="420">
        <v>1.8</v>
      </c>
    </row>
    <row r="42" spans="1:10" s="2" customFormat="1" ht="49.5" customHeight="1">
      <c r="A42" s="67" t="s">
        <v>26</v>
      </c>
      <c r="B42" s="111">
        <v>1091</v>
      </c>
      <c r="C42" s="367"/>
      <c r="D42" s="367"/>
      <c r="E42" s="367"/>
      <c r="F42" s="420"/>
      <c r="G42" s="420"/>
      <c r="H42" s="420"/>
      <c r="I42" s="420"/>
      <c r="J42" s="420"/>
    </row>
    <row r="43" spans="1:10" s="2" customFormat="1" ht="36.75" customHeight="1">
      <c r="A43" s="8" t="s">
        <v>27</v>
      </c>
      <c r="B43" s="111">
        <v>1092</v>
      </c>
      <c r="C43" s="367">
        <v>0</v>
      </c>
      <c r="D43" s="367">
        <v>16</v>
      </c>
      <c r="E43" s="367">
        <v>8</v>
      </c>
      <c r="F43" s="420">
        <f>G43+H43+I43+J43</f>
        <v>8</v>
      </c>
      <c r="G43" s="420">
        <v>0</v>
      </c>
      <c r="H43" s="420"/>
      <c r="I43" s="420">
        <v>4</v>
      </c>
      <c r="J43" s="420">
        <v>4</v>
      </c>
    </row>
    <row r="44" spans="1:10" s="2" customFormat="1" ht="31.5" customHeight="1">
      <c r="A44" s="67" t="s">
        <v>28</v>
      </c>
      <c r="B44" s="111">
        <v>1093</v>
      </c>
      <c r="C44" s="367"/>
      <c r="D44" s="367"/>
      <c r="E44" s="367"/>
      <c r="F44" s="420"/>
      <c r="G44" s="445"/>
      <c r="H44" s="445"/>
      <c r="I44" s="445"/>
      <c r="J44" s="445"/>
    </row>
    <row r="45" spans="1:10" s="2" customFormat="1" ht="20.100000000000001" customHeight="1">
      <c r="A45" s="67" t="s">
        <v>29</v>
      </c>
      <c r="B45" s="111">
        <v>1094</v>
      </c>
      <c r="C45" s="367"/>
      <c r="D45" s="367"/>
      <c r="E45" s="367"/>
      <c r="F45" s="420"/>
      <c r="G45" s="445"/>
      <c r="H45" s="445"/>
      <c r="I45" s="445"/>
      <c r="J45" s="445"/>
    </row>
    <row r="46" spans="1:10" s="2" customFormat="1" ht="20.100000000000001" customHeight="1">
      <c r="A46" s="67" t="s">
        <v>49</v>
      </c>
      <c r="B46" s="111">
        <v>1095</v>
      </c>
      <c r="C46" s="367"/>
      <c r="D46" s="367"/>
      <c r="E46" s="367"/>
      <c r="F46" s="420"/>
      <c r="G46" s="445"/>
      <c r="H46" s="445"/>
      <c r="I46" s="445"/>
      <c r="J46" s="445"/>
    </row>
    <row r="47" spans="1:10" s="2" customFormat="1" ht="20.100000000000001" customHeight="1">
      <c r="A47" s="67" t="s">
        <v>30</v>
      </c>
      <c r="B47" s="111">
        <v>1096</v>
      </c>
      <c r="C47" s="367"/>
      <c r="D47" s="367"/>
      <c r="E47" s="367"/>
      <c r="F47" s="420"/>
      <c r="G47" s="445"/>
      <c r="H47" s="445"/>
      <c r="I47" s="445"/>
      <c r="J47" s="445"/>
    </row>
    <row r="48" spans="1:10" s="2" customFormat="1" ht="20.100000000000001" customHeight="1">
      <c r="A48" s="67" t="s">
        <v>31</v>
      </c>
      <c r="B48" s="111">
        <v>1097</v>
      </c>
      <c r="C48" s="367"/>
      <c r="D48" s="367"/>
      <c r="E48" s="367"/>
      <c r="F48" s="420"/>
      <c r="G48" s="445"/>
      <c r="H48" s="445"/>
      <c r="I48" s="445"/>
      <c r="J48" s="445"/>
    </row>
    <row r="49" spans="1:10" s="2" customFormat="1" ht="33.75" customHeight="1">
      <c r="A49" s="67" t="s">
        <v>32</v>
      </c>
      <c r="B49" s="111">
        <v>1098</v>
      </c>
      <c r="C49" s="367"/>
      <c r="D49" s="367"/>
      <c r="E49" s="367"/>
      <c r="F49" s="420"/>
      <c r="G49" s="445"/>
      <c r="H49" s="445"/>
      <c r="I49" s="445"/>
      <c r="J49" s="445"/>
    </row>
    <row r="50" spans="1:10" s="2" customFormat="1" ht="29.25" customHeight="1">
      <c r="A50" s="67" t="s">
        <v>33</v>
      </c>
      <c r="B50" s="111">
        <v>1099</v>
      </c>
      <c r="C50" s="367"/>
      <c r="D50" s="367"/>
      <c r="E50" s="367"/>
      <c r="F50" s="420"/>
      <c r="G50" s="420">
        <v>0</v>
      </c>
      <c r="H50" s="446"/>
      <c r="I50" s="446"/>
      <c r="J50" s="446"/>
    </row>
    <row r="51" spans="1:10" s="2" customFormat="1" ht="46.5" customHeight="1">
      <c r="A51" s="67" t="s">
        <v>60</v>
      </c>
      <c r="B51" s="111">
        <v>1100</v>
      </c>
      <c r="C51" s="367"/>
      <c r="D51" s="367">
        <v>156.69999999999999</v>
      </c>
      <c r="E51" s="367">
        <v>154</v>
      </c>
      <c r="F51" s="420">
        <f>F52</f>
        <v>0</v>
      </c>
      <c r="G51" s="420">
        <v>32.1</v>
      </c>
      <c r="H51" s="420">
        <v>18.2</v>
      </c>
      <c r="I51" s="420">
        <v>34.1</v>
      </c>
      <c r="J51" s="420">
        <v>35.6</v>
      </c>
    </row>
    <row r="52" spans="1:10" s="2" customFormat="1" ht="31.5">
      <c r="A52" s="67" t="s">
        <v>379</v>
      </c>
      <c r="B52" s="111">
        <v>1101</v>
      </c>
      <c r="C52" s="367"/>
      <c r="D52" s="367">
        <v>156.69999999999999</v>
      </c>
      <c r="E52" s="367">
        <v>154</v>
      </c>
      <c r="F52" s="420">
        <f>I52+J52</f>
        <v>0</v>
      </c>
      <c r="G52" s="420">
        <v>0</v>
      </c>
      <c r="H52" s="446"/>
      <c r="I52" s="446"/>
      <c r="J52" s="446"/>
    </row>
    <row r="53" spans="1:10" s="2" customFormat="1" ht="30.75" customHeight="1">
      <c r="A53" s="67" t="s">
        <v>285</v>
      </c>
      <c r="B53" s="111">
        <v>1102</v>
      </c>
      <c r="C53" s="367">
        <f>C54+C55+C56+C57+C58+C60+C59+C61</f>
        <v>109.19999999999999</v>
      </c>
      <c r="D53" s="367">
        <f>D55+D56+D57+D58+D59+D60+D61+D54</f>
        <v>100.9</v>
      </c>
      <c r="E53" s="367">
        <f t="shared" ref="E53:J53" si="11">E54+E55+E56+E57+E58+E59+E60+E61</f>
        <v>103.2</v>
      </c>
      <c r="F53" s="420">
        <f t="shared" si="11"/>
        <v>120</v>
      </c>
      <c r="G53" s="420">
        <f t="shared" si="11"/>
        <v>32.1</v>
      </c>
      <c r="H53" s="420">
        <f t="shared" si="11"/>
        <v>18.2</v>
      </c>
      <c r="I53" s="420">
        <f t="shared" si="11"/>
        <v>34.1</v>
      </c>
      <c r="J53" s="420">
        <f t="shared" si="11"/>
        <v>35.6</v>
      </c>
    </row>
    <row r="54" spans="1:10" s="405" customFormat="1" ht="20.100000000000001" customHeight="1">
      <c r="A54" s="147" t="s">
        <v>275</v>
      </c>
      <c r="B54" s="284"/>
      <c r="C54" s="268">
        <v>0.8</v>
      </c>
      <c r="D54" s="268">
        <v>0</v>
      </c>
      <c r="E54" s="268">
        <v>0</v>
      </c>
      <c r="F54" s="268">
        <v>0</v>
      </c>
      <c r="G54" s="268">
        <v>0</v>
      </c>
      <c r="H54" s="268">
        <v>0</v>
      </c>
      <c r="I54" s="268">
        <v>0</v>
      </c>
      <c r="J54" s="268">
        <v>0</v>
      </c>
    </row>
    <row r="55" spans="1:10" s="405" customFormat="1" ht="20.100000000000001" customHeight="1">
      <c r="A55" s="147" t="s">
        <v>47</v>
      </c>
      <c r="B55" s="284"/>
      <c r="C55" s="268">
        <v>36.700000000000003</v>
      </c>
      <c r="D55" s="268">
        <v>38.6</v>
      </c>
      <c r="E55" s="268">
        <v>26</v>
      </c>
      <c r="F55" s="268">
        <f>G55+H55+I55+J55</f>
        <v>43.1</v>
      </c>
      <c r="G55" s="268">
        <v>11.9</v>
      </c>
      <c r="H55" s="268">
        <v>8.7999999999999989</v>
      </c>
      <c r="I55" s="268">
        <v>11</v>
      </c>
      <c r="J55" s="268">
        <v>11.4</v>
      </c>
    </row>
    <row r="56" spans="1:10" s="405" customFormat="1" ht="20.100000000000001" customHeight="1">
      <c r="A56" s="147" t="s">
        <v>277</v>
      </c>
      <c r="B56" s="284"/>
      <c r="C56" s="268">
        <v>3.5</v>
      </c>
      <c r="D56" s="268">
        <v>5.2</v>
      </c>
      <c r="E56" s="268">
        <v>1</v>
      </c>
      <c r="F56" s="268">
        <f>G56+H56+I56+J56</f>
        <v>4.5</v>
      </c>
      <c r="G56" s="268">
        <v>0.4</v>
      </c>
      <c r="H56" s="268">
        <v>1.1000000000000001</v>
      </c>
      <c r="I56" s="268">
        <v>1.5</v>
      </c>
      <c r="J56" s="268">
        <v>1.5</v>
      </c>
    </row>
    <row r="57" spans="1:10" s="405" customFormat="1" ht="20.100000000000001" customHeight="1">
      <c r="A57" s="147" t="s">
        <v>276</v>
      </c>
      <c r="B57" s="284"/>
      <c r="C57" s="268">
        <v>3.4</v>
      </c>
      <c r="D57" s="268">
        <v>3.3</v>
      </c>
      <c r="E57" s="268">
        <v>3.6</v>
      </c>
      <c r="F57" s="268">
        <f>G57+H57+I57+J57</f>
        <v>4</v>
      </c>
      <c r="G57" s="268">
        <v>0.9</v>
      </c>
      <c r="H57" s="268">
        <v>0.9</v>
      </c>
      <c r="I57" s="268">
        <v>1.1000000000000001</v>
      </c>
      <c r="J57" s="268">
        <v>1.1000000000000001</v>
      </c>
    </row>
    <row r="58" spans="1:10" s="405" customFormat="1" ht="20.100000000000001" customHeight="1">
      <c r="A58" s="147" t="s">
        <v>278</v>
      </c>
      <c r="B58" s="284"/>
      <c r="C58" s="268">
        <v>0</v>
      </c>
      <c r="D58" s="268">
        <v>0</v>
      </c>
      <c r="E58" s="268">
        <v>0</v>
      </c>
      <c r="F58" s="268">
        <v>0</v>
      </c>
      <c r="G58" s="268">
        <v>0</v>
      </c>
      <c r="H58" s="268">
        <v>0</v>
      </c>
      <c r="I58" s="268">
        <v>0</v>
      </c>
      <c r="J58" s="268">
        <v>0</v>
      </c>
    </row>
    <row r="59" spans="1:10" s="405" customFormat="1" ht="20.100000000000001" customHeight="1">
      <c r="A59" s="147" t="s">
        <v>280</v>
      </c>
      <c r="B59" s="284"/>
      <c r="C59" s="268">
        <v>11.8</v>
      </c>
      <c r="D59" s="268">
        <v>18.399999999999999</v>
      </c>
      <c r="E59" s="268">
        <v>14</v>
      </c>
      <c r="F59" s="268">
        <f>G59+H59+I59+J59</f>
        <v>16.899999999999999</v>
      </c>
      <c r="G59" s="268">
        <v>3.9</v>
      </c>
      <c r="H59" s="268">
        <v>4</v>
      </c>
      <c r="I59" s="268">
        <v>4.5</v>
      </c>
      <c r="J59" s="268">
        <v>4.5</v>
      </c>
    </row>
    <row r="60" spans="1:10" s="405" customFormat="1" ht="20.100000000000001" customHeight="1">
      <c r="A60" s="147" t="s">
        <v>279</v>
      </c>
      <c r="B60" s="284"/>
      <c r="C60" s="268">
        <v>16.399999999999999</v>
      </c>
      <c r="D60" s="268">
        <v>19.399999999999999</v>
      </c>
      <c r="E60" s="268">
        <v>20.6</v>
      </c>
      <c r="F60" s="268">
        <f>G60+H60+I60+J60</f>
        <v>15.7</v>
      </c>
      <c r="G60" s="268">
        <v>2.5</v>
      </c>
      <c r="H60" s="268">
        <v>3.0999999999999996</v>
      </c>
      <c r="I60" s="268">
        <v>4.5</v>
      </c>
      <c r="J60" s="268">
        <v>5.6</v>
      </c>
    </row>
    <row r="61" spans="1:10" s="405" customFormat="1" ht="20.100000000000001" customHeight="1">
      <c r="A61" s="147" t="s">
        <v>377</v>
      </c>
      <c r="B61" s="284"/>
      <c r="C61" s="268">
        <v>36.6</v>
      </c>
      <c r="D61" s="268">
        <v>16</v>
      </c>
      <c r="E61" s="268">
        <v>38</v>
      </c>
      <c r="F61" s="268">
        <f>G61+H61+I61+J61</f>
        <v>35.799999999999997</v>
      </c>
      <c r="G61" s="268">
        <v>12.5</v>
      </c>
      <c r="H61" s="268">
        <v>0.30000000000000071</v>
      </c>
      <c r="I61" s="268">
        <v>11.5</v>
      </c>
      <c r="J61" s="268">
        <v>11.5</v>
      </c>
    </row>
    <row r="62" spans="1:10" ht="20.100000000000001" customHeight="1">
      <c r="A62" s="114" t="s">
        <v>172</v>
      </c>
      <c r="B62" s="153">
        <v>1110</v>
      </c>
      <c r="C62" s="123">
        <f t="shared" ref="C62:J62" si="12">SUM(C63:C69)</f>
        <v>553.79999999999995</v>
      </c>
      <c r="D62" s="123">
        <f t="shared" si="12"/>
        <v>722.90000000000009</v>
      </c>
      <c r="E62" s="123">
        <f t="shared" si="12"/>
        <v>737.04000000000008</v>
      </c>
      <c r="F62" s="123">
        <f t="shared" si="12"/>
        <v>823.35</v>
      </c>
      <c r="G62" s="123">
        <f>SUM(G63:G69)</f>
        <v>209.39999999999998</v>
      </c>
      <c r="H62" s="123">
        <f t="shared" si="12"/>
        <v>194.7</v>
      </c>
      <c r="I62" s="123">
        <f t="shared" si="12"/>
        <v>208.00000000000003</v>
      </c>
      <c r="J62" s="123">
        <f t="shared" si="12"/>
        <v>211.3</v>
      </c>
    </row>
    <row r="63" spans="1:10" s="2" customFormat="1" ht="20.100000000000001" customHeight="1">
      <c r="A63" s="67" t="s">
        <v>142</v>
      </c>
      <c r="B63" s="111">
        <v>1111</v>
      </c>
      <c r="C63" s="367"/>
      <c r="D63" s="367"/>
      <c r="E63" s="367"/>
      <c r="F63" s="420"/>
      <c r="G63" s="420"/>
      <c r="H63" s="420"/>
      <c r="I63" s="420"/>
      <c r="J63" s="420"/>
    </row>
    <row r="64" spans="1:10" s="2" customFormat="1" ht="20.100000000000001" customHeight="1">
      <c r="A64" s="67" t="s">
        <v>143</v>
      </c>
      <c r="B64" s="111">
        <v>1112</v>
      </c>
      <c r="C64" s="367"/>
      <c r="D64" s="367"/>
      <c r="E64" s="367"/>
      <c r="F64" s="420"/>
      <c r="G64" s="420"/>
      <c r="H64" s="420"/>
      <c r="I64" s="420"/>
      <c r="J64" s="420"/>
    </row>
    <row r="65" spans="1:10" s="2" customFormat="1" ht="20.100000000000001" customHeight="1">
      <c r="A65" s="67" t="s">
        <v>23</v>
      </c>
      <c r="B65" s="111">
        <v>1113</v>
      </c>
      <c r="C65" s="367">
        <v>290</v>
      </c>
      <c r="D65" s="367">
        <v>371.8</v>
      </c>
      <c r="E65" s="367">
        <v>372</v>
      </c>
      <c r="F65" s="268">
        <f>G65+H65+I65+J65</f>
        <v>514.9</v>
      </c>
      <c r="G65" s="265">
        <v>123</v>
      </c>
      <c r="H65" s="265">
        <v>129.1</v>
      </c>
      <c r="I65" s="265">
        <v>130.9</v>
      </c>
      <c r="J65" s="265">
        <v>131.9</v>
      </c>
    </row>
    <row r="66" spans="1:10" s="405" customFormat="1" ht="20.100000000000001" customHeight="1">
      <c r="A66" s="147" t="s">
        <v>274</v>
      </c>
      <c r="B66" s="271" t="s">
        <v>354</v>
      </c>
      <c r="C66" s="268">
        <v>59</v>
      </c>
      <c r="D66" s="268">
        <v>81.8</v>
      </c>
      <c r="E66" s="268">
        <f>E65*0.22</f>
        <v>81.84</v>
      </c>
      <c r="F66" s="268">
        <f>G66+H66+I66+J66</f>
        <v>104.1</v>
      </c>
      <c r="G66" s="265">
        <v>22.6</v>
      </c>
      <c r="H66" s="265">
        <v>23.7</v>
      </c>
      <c r="I66" s="265">
        <v>28.8</v>
      </c>
      <c r="J66" s="265">
        <v>29</v>
      </c>
    </row>
    <row r="67" spans="1:10" s="2" customFormat="1" ht="35.25" customHeight="1">
      <c r="A67" s="67" t="s">
        <v>46</v>
      </c>
      <c r="B67" s="111">
        <v>1114</v>
      </c>
      <c r="C67" s="367">
        <v>2</v>
      </c>
      <c r="D67" s="367">
        <v>100</v>
      </c>
      <c r="E67" s="367">
        <v>100</v>
      </c>
      <c r="F67" s="420">
        <f>G67+H67+I67+J67</f>
        <v>2</v>
      </c>
      <c r="G67" s="422">
        <v>0.5</v>
      </c>
      <c r="H67" s="422">
        <v>0.5</v>
      </c>
      <c r="I67" s="265">
        <v>0.8</v>
      </c>
      <c r="J67" s="265">
        <v>0.2</v>
      </c>
    </row>
    <row r="68" spans="1:10" s="2" customFormat="1" ht="20.100000000000001" customHeight="1">
      <c r="A68" s="67" t="s">
        <v>63</v>
      </c>
      <c r="B68" s="111">
        <v>1115</v>
      </c>
      <c r="C68" s="367"/>
      <c r="D68" s="367"/>
      <c r="E68" s="367"/>
      <c r="F68" s="420"/>
      <c r="G68" s="422"/>
      <c r="H68" s="422"/>
      <c r="I68" s="422"/>
      <c r="J68" s="422"/>
    </row>
    <row r="69" spans="1:10" s="2" customFormat="1" ht="20.100000000000001" customHeight="1">
      <c r="A69" s="67" t="s">
        <v>284</v>
      </c>
      <c r="B69" s="111">
        <v>1116</v>
      </c>
      <c r="C69" s="367">
        <v>202.8</v>
      </c>
      <c r="D69" s="367">
        <f t="shared" ref="D69:F69" si="13">D70+D71+D72+D73+D74+D75+D76+D77+D78</f>
        <v>169.3</v>
      </c>
      <c r="E69" s="367">
        <f t="shared" si="13"/>
        <v>183.20000000000002</v>
      </c>
      <c r="F69" s="420">
        <f t="shared" si="13"/>
        <v>202.35</v>
      </c>
      <c r="G69" s="422">
        <f>ROUND(SUM(G70:G78),1)</f>
        <v>63.3</v>
      </c>
      <c r="H69" s="422">
        <f>ROUND(SUM(H70:H78),1)</f>
        <v>41.4</v>
      </c>
      <c r="I69" s="422">
        <f>ROUND(SUM(I70:I78),1)</f>
        <v>47.5</v>
      </c>
      <c r="J69" s="422">
        <f>ROUND(SUM(J70:J78),1)</f>
        <v>50.2</v>
      </c>
    </row>
    <row r="70" spans="1:10" s="405" customFormat="1" ht="20.100000000000001" customHeight="1">
      <c r="A70" s="147" t="s">
        <v>275</v>
      </c>
      <c r="B70" s="271" t="s">
        <v>345</v>
      </c>
      <c r="C70" s="268">
        <v>41.7</v>
      </c>
      <c r="D70" s="268">
        <v>23</v>
      </c>
      <c r="E70" s="268">
        <v>36.6</v>
      </c>
      <c r="F70" s="268">
        <f>G70+H70++I70+J70</f>
        <v>33.6</v>
      </c>
      <c r="G70" s="265">
        <v>22.1</v>
      </c>
      <c r="H70" s="265">
        <v>0.19999999999999929</v>
      </c>
      <c r="I70" s="265">
        <v>3.3</v>
      </c>
      <c r="J70" s="265">
        <v>8</v>
      </c>
    </row>
    <row r="71" spans="1:10" s="405" customFormat="1" ht="20.100000000000001" customHeight="1">
      <c r="A71" s="147" t="s">
        <v>47</v>
      </c>
      <c r="B71" s="271" t="s">
        <v>346</v>
      </c>
      <c r="C71" s="268">
        <v>12</v>
      </c>
      <c r="D71" s="268">
        <v>13</v>
      </c>
      <c r="E71" s="268">
        <v>10</v>
      </c>
      <c r="F71" s="268">
        <f>G71+H71++I71+J71</f>
        <v>12.399999999999999</v>
      </c>
      <c r="G71" s="265">
        <v>3.5</v>
      </c>
      <c r="H71" s="265">
        <v>3.3</v>
      </c>
      <c r="I71" s="265">
        <v>2.8</v>
      </c>
      <c r="J71" s="265">
        <v>2.8</v>
      </c>
    </row>
    <row r="72" spans="1:10" s="405" customFormat="1" ht="20.100000000000001" customHeight="1">
      <c r="A72" s="147" t="s">
        <v>277</v>
      </c>
      <c r="B72" s="271" t="s">
        <v>347</v>
      </c>
      <c r="C72" s="268">
        <v>0.3</v>
      </c>
      <c r="D72" s="268">
        <v>0.4</v>
      </c>
      <c r="E72" s="268">
        <v>0.1</v>
      </c>
      <c r="F72" s="268">
        <f>G72+H72++I72+J72</f>
        <v>0.55000000000000004</v>
      </c>
      <c r="G72" s="265">
        <v>0.1</v>
      </c>
      <c r="H72" s="265">
        <v>0.1</v>
      </c>
      <c r="I72" s="265">
        <v>0.2</v>
      </c>
      <c r="J72" s="265">
        <v>0.15</v>
      </c>
    </row>
    <row r="73" spans="1:10" s="405" customFormat="1" ht="20.100000000000001" customHeight="1">
      <c r="A73" s="147" t="s">
        <v>281</v>
      </c>
      <c r="B73" s="271" t="s">
        <v>348</v>
      </c>
      <c r="C73" s="268">
        <v>1.4</v>
      </c>
      <c r="D73" s="268">
        <v>1.6</v>
      </c>
      <c r="E73" s="268">
        <v>1.6</v>
      </c>
      <c r="F73" s="268">
        <f>G73+H73++I73+J73</f>
        <v>1.7000000000000002</v>
      </c>
      <c r="G73" s="265">
        <v>0.2</v>
      </c>
      <c r="H73" s="265">
        <v>0.3</v>
      </c>
      <c r="I73" s="265">
        <v>0.6</v>
      </c>
      <c r="J73" s="265">
        <v>0.6</v>
      </c>
    </row>
    <row r="74" spans="1:10" s="405" customFormat="1" ht="20.100000000000001" customHeight="1">
      <c r="A74" s="147" t="s">
        <v>283</v>
      </c>
      <c r="B74" s="271" t="s">
        <v>349</v>
      </c>
      <c r="C74" s="268">
        <v>121.5</v>
      </c>
      <c r="D74" s="268">
        <v>102</v>
      </c>
      <c r="E74" s="268">
        <v>107</v>
      </c>
      <c r="F74" s="268">
        <f>G74+H74+I74+J74</f>
        <v>126.89999999999999</v>
      </c>
      <c r="G74" s="265">
        <v>31.9</v>
      </c>
      <c r="H74" s="265">
        <v>31.4</v>
      </c>
      <c r="I74" s="265">
        <v>31.8</v>
      </c>
      <c r="J74" s="265">
        <v>31.8</v>
      </c>
    </row>
    <row r="75" spans="1:10" s="405" customFormat="1" ht="20.100000000000001" customHeight="1">
      <c r="A75" s="147" t="s">
        <v>276</v>
      </c>
      <c r="B75" s="271" t="s">
        <v>350</v>
      </c>
      <c r="C75" s="268">
        <v>5.4</v>
      </c>
      <c r="D75" s="268">
        <v>5.6</v>
      </c>
      <c r="E75" s="268">
        <v>5</v>
      </c>
      <c r="F75" s="268">
        <f>G75+H75+I75+J75</f>
        <v>6.4</v>
      </c>
      <c r="G75" s="265">
        <v>1.6</v>
      </c>
      <c r="H75" s="265">
        <v>1.6</v>
      </c>
      <c r="I75" s="265">
        <v>1.6</v>
      </c>
      <c r="J75" s="265">
        <v>1.6</v>
      </c>
    </row>
    <row r="76" spans="1:10" s="405" customFormat="1" ht="20.100000000000001" customHeight="1">
      <c r="A76" s="147" t="s">
        <v>296</v>
      </c>
      <c r="B76" s="271" t="s">
        <v>351</v>
      </c>
      <c r="C76" s="268">
        <v>3</v>
      </c>
      <c r="D76" s="268">
        <v>4.8</v>
      </c>
      <c r="E76" s="268">
        <v>3.8</v>
      </c>
      <c r="F76" s="268">
        <f>G76+H76+I76+J76</f>
        <v>4.3</v>
      </c>
      <c r="G76" s="265">
        <v>1.1000000000000001</v>
      </c>
      <c r="H76" s="265">
        <v>0.79999999999999982</v>
      </c>
      <c r="I76" s="265">
        <v>1.2</v>
      </c>
      <c r="J76" s="265">
        <v>1.2</v>
      </c>
    </row>
    <row r="77" spans="1:10" s="405" customFormat="1" ht="20.100000000000001" customHeight="1">
      <c r="A77" s="147" t="s">
        <v>297</v>
      </c>
      <c r="B77" s="271" t="s">
        <v>352</v>
      </c>
      <c r="C77" s="268">
        <v>8.5</v>
      </c>
      <c r="D77" s="268">
        <v>8</v>
      </c>
      <c r="E77" s="268">
        <v>9.1</v>
      </c>
      <c r="F77" s="268">
        <f>G77+H77+I77+J77</f>
        <v>10.9</v>
      </c>
      <c r="G77" s="265">
        <v>2</v>
      </c>
      <c r="H77" s="265">
        <v>2.9000000000000004</v>
      </c>
      <c r="I77" s="265">
        <v>3</v>
      </c>
      <c r="J77" s="265">
        <v>3</v>
      </c>
    </row>
    <row r="78" spans="1:10" s="405" customFormat="1" ht="20.100000000000001" customHeight="1">
      <c r="A78" s="147" t="s">
        <v>154</v>
      </c>
      <c r="B78" s="271" t="s">
        <v>353</v>
      </c>
      <c r="C78" s="268">
        <v>9</v>
      </c>
      <c r="D78" s="268">
        <v>10.9</v>
      </c>
      <c r="E78" s="268">
        <v>10</v>
      </c>
      <c r="F78" s="268">
        <f>G78+H78+I78+J78</f>
        <v>5.6</v>
      </c>
      <c r="G78" s="265">
        <v>0.8</v>
      </c>
      <c r="H78" s="265">
        <v>0.8</v>
      </c>
      <c r="I78" s="265">
        <v>3</v>
      </c>
      <c r="J78" s="265">
        <v>1</v>
      </c>
    </row>
    <row r="79" spans="1:10" s="2" customFormat="1" ht="20.100000000000001" customHeight="1">
      <c r="A79" s="114" t="s">
        <v>282</v>
      </c>
      <c r="B79" s="153">
        <v>1120</v>
      </c>
      <c r="C79" s="123">
        <f>SUM(C80:C84)</f>
        <v>121.2</v>
      </c>
      <c r="D79" s="123">
        <f t="shared" ref="D79:J79" si="14">D84</f>
        <v>122.2</v>
      </c>
      <c r="E79" s="123">
        <f t="shared" si="14"/>
        <v>121.2</v>
      </c>
      <c r="F79" s="82">
        <f t="shared" si="14"/>
        <v>65.440000000000012</v>
      </c>
      <c r="G79" s="82">
        <f t="shared" si="14"/>
        <v>16.3</v>
      </c>
      <c r="H79" s="82">
        <f t="shared" si="14"/>
        <v>16.440000000000001</v>
      </c>
      <c r="I79" s="82">
        <f t="shared" si="14"/>
        <v>16.3</v>
      </c>
      <c r="J79" s="82">
        <f t="shared" si="14"/>
        <v>16.400000000000002</v>
      </c>
    </row>
    <row r="80" spans="1:10" s="2" customFormat="1" ht="20.100000000000001" customHeight="1">
      <c r="A80" s="67" t="s">
        <v>53</v>
      </c>
      <c r="B80" s="111">
        <v>1121</v>
      </c>
      <c r="C80" s="367"/>
      <c r="D80" s="367"/>
      <c r="E80" s="367"/>
      <c r="F80" s="420"/>
      <c r="G80" s="420"/>
      <c r="H80" s="420"/>
      <c r="I80" s="420"/>
      <c r="J80" s="420"/>
    </row>
    <row r="81" spans="1:10" s="2" customFormat="1" ht="20.100000000000001" customHeight="1">
      <c r="A81" s="67" t="s">
        <v>34</v>
      </c>
      <c r="B81" s="111">
        <v>1122</v>
      </c>
      <c r="C81" s="367"/>
      <c r="D81" s="367"/>
      <c r="E81" s="367"/>
      <c r="F81" s="420"/>
      <c r="G81" s="420"/>
      <c r="H81" s="420"/>
      <c r="I81" s="420"/>
      <c r="J81" s="420"/>
    </row>
    <row r="82" spans="1:10" s="2" customFormat="1" ht="20.100000000000001" customHeight="1">
      <c r="A82" s="67" t="s">
        <v>44</v>
      </c>
      <c r="B82" s="111">
        <v>1123</v>
      </c>
      <c r="C82" s="367"/>
      <c r="D82" s="367"/>
      <c r="E82" s="367"/>
      <c r="F82" s="420"/>
      <c r="G82" s="420"/>
      <c r="H82" s="420"/>
      <c r="I82" s="420"/>
      <c r="J82" s="420"/>
    </row>
    <row r="83" spans="1:10" s="2" customFormat="1" ht="20.100000000000001" customHeight="1">
      <c r="A83" s="67" t="s">
        <v>165</v>
      </c>
      <c r="B83" s="111">
        <v>1124</v>
      </c>
      <c r="C83" s="367"/>
      <c r="D83" s="367"/>
      <c r="E83" s="367"/>
      <c r="F83" s="420"/>
      <c r="G83" s="420"/>
      <c r="H83" s="420"/>
      <c r="I83" s="420"/>
      <c r="J83" s="420"/>
    </row>
    <row r="84" spans="1:10" s="2" customFormat="1" ht="20.100000000000001" customHeight="1">
      <c r="A84" s="67" t="s">
        <v>286</v>
      </c>
      <c r="B84" s="111">
        <v>1125</v>
      </c>
      <c r="C84" s="367">
        <f t="shared" ref="C84:E84" si="15">C85+C86+C87</f>
        <v>121.2</v>
      </c>
      <c r="D84" s="367">
        <f t="shared" si="15"/>
        <v>122.2</v>
      </c>
      <c r="E84" s="367">
        <f t="shared" si="15"/>
        <v>121.2</v>
      </c>
      <c r="F84" s="422">
        <f>G84+H84+I84+J84</f>
        <v>65.440000000000012</v>
      </c>
      <c r="G84" s="422">
        <f>G85+G86+G87</f>
        <v>16.3</v>
      </c>
      <c r="H84" s="422">
        <f t="shared" ref="H84:J84" si="16">H85+H86+H87</f>
        <v>16.440000000000001</v>
      </c>
      <c r="I84" s="422">
        <f t="shared" si="16"/>
        <v>16.3</v>
      </c>
      <c r="J84" s="422">
        <f t="shared" si="16"/>
        <v>16.400000000000002</v>
      </c>
    </row>
    <row r="85" spans="1:10" s="405" customFormat="1" ht="20.100000000000001" customHeight="1">
      <c r="A85" s="147" t="s">
        <v>287</v>
      </c>
      <c r="B85" s="273"/>
      <c r="C85" s="268">
        <v>1.2</v>
      </c>
      <c r="D85" s="268">
        <v>1.4</v>
      </c>
      <c r="E85" s="268">
        <v>0.4</v>
      </c>
      <c r="F85" s="447">
        <f>G85+H85+I85+J85</f>
        <v>0</v>
      </c>
      <c r="G85" s="265">
        <v>0</v>
      </c>
      <c r="H85" s="265">
        <v>0</v>
      </c>
      <c r="I85" s="265"/>
      <c r="J85" s="265"/>
    </row>
    <row r="86" spans="1:10" s="405" customFormat="1" ht="20.100000000000001" customHeight="1">
      <c r="A86" s="147" t="s">
        <v>288</v>
      </c>
      <c r="B86" s="273"/>
      <c r="C86" s="268">
        <v>119.3</v>
      </c>
      <c r="D86" s="268">
        <v>120</v>
      </c>
      <c r="E86" s="268">
        <v>120</v>
      </c>
      <c r="F86" s="447">
        <f>G86+H86+I86+J86</f>
        <v>64.240000000000009</v>
      </c>
      <c r="G86" s="447">
        <v>16</v>
      </c>
      <c r="H86" s="447">
        <v>16.14</v>
      </c>
      <c r="I86" s="447">
        <v>16</v>
      </c>
      <c r="J86" s="447">
        <v>16.100000000000001</v>
      </c>
    </row>
    <row r="87" spans="1:10" s="405" customFormat="1" ht="20.100000000000001" customHeight="1">
      <c r="A87" s="147" t="s">
        <v>289</v>
      </c>
      <c r="B87" s="273"/>
      <c r="C87" s="268">
        <v>0.7</v>
      </c>
      <c r="D87" s="268">
        <v>0.8</v>
      </c>
      <c r="E87" s="268">
        <v>0.8</v>
      </c>
      <c r="F87" s="447">
        <f>G87+H87+I87+J87</f>
        <v>1.2</v>
      </c>
      <c r="G87" s="265">
        <v>0.3</v>
      </c>
      <c r="H87" s="265">
        <v>0.3</v>
      </c>
      <c r="I87" s="265">
        <v>0.3</v>
      </c>
      <c r="J87" s="265">
        <v>0.3</v>
      </c>
    </row>
    <row r="88" spans="1:10" s="405" customFormat="1" ht="20.100000000000001" customHeight="1">
      <c r="A88" s="147" t="s">
        <v>534</v>
      </c>
      <c r="B88" s="273"/>
      <c r="C88" s="268"/>
      <c r="D88" s="268"/>
      <c r="E88" s="268"/>
      <c r="F88" s="447"/>
      <c r="G88" s="265"/>
      <c r="H88" s="265"/>
      <c r="I88" s="265"/>
      <c r="J88" s="265"/>
    </row>
    <row r="89" spans="1:10" s="405" customFormat="1" ht="20.100000000000001" customHeight="1">
      <c r="A89" s="147" t="s">
        <v>535</v>
      </c>
      <c r="B89" s="273"/>
      <c r="C89" s="268"/>
      <c r="D89" s="268"/>
      <c r="E89" s="268"/>
      <c r="F89" s="447"/>
      <c r="G89" s="265"/>
      <c r="H89" s="265"/>
      <c r="I89" s="265"/>
      <c r="J89" s="265"/>
    </row>
    <row r="90" spans="1:10" s="76" customFormat="1" ht="44.25" customHeight="1">
      <c r="A90" s="75" t="s">
        <v>248</v>
      </c>
      <c r="B90" s="156">
        <v>1130</v>
      </c>
      <c r="C90" s="170">
        <f>C29-C31-C62-C79</f>
        <v>32.599999999999952</v>
      </c>
      <c r="D90" s="170">
        <f t="shared" ref="D90:J90" si="17">D29+D30-D31-D62-D79</f>
        <v>27.899999999999679</v>
      </c>
      <c r="E90" s="170">
        <v>38.1</v>
      </c>
      <c r="F90" s="170">
        <f>F29-F31-F62-F79</f>
        <v>36.869520000000577</v>
      </c>
      <c r="G90" s="170">
        <f t="shared" si="17"/>
        <v>15.800000000000477</v>
      </c>
      <c r="H90" s="170">
        <f t="shared" si="17"/>
        <v>9.1599999999993962</v>
      </c>
      <c r="I90" s="170">
        <f>I29+I30-I31-I62-I79</f>
        <v>6.4699999999997253</v>
      </c>
      <c r="J90" s="170">
        <f t="shared" si="17"/>
        <v>5.4087500000002002</v>
      </c>
    </row>
    <row r="91" spans="1:10" ht="20.100000000000001" customHeight="1">
      <c r="A91" s="114" t="s">
        <v>88</v>
      </c>
      <c r="B91" s="153">
        <v>1140</v>
      </c>
      <c r="C91" s="154"/>
      <c r="D91" s="154"/>
      <c r="E91" s="123"/>
      <c r="F91" s="123"/>
      <c r="G91" s="123"/>
      <c r="H91" s="123"/>
      <c r="I91" s="123"/>
      <c r="J91" s="123"/>
    </row>
    <row r="92" spans="1:10" ht="20.100000000000001" customHeight="1">
      <c r="A92" s="114" t="s">
        <v>89</v>
      </c>
      <c r="B92" s="153">
        <v>1150</v>
      </c>
      <c r="C92" s="123"/>
      <c r="D92" s="123"/>
      <c r="E92" s="123"/>
      <c r="F92" s="123"/>
      <c r="G92" s="123"/>
      <c r="H92" s="123"/>
      <c r="I92" s="123"/>
      <c r="J92" s="123"/>
    </row>
    <row r="93" spans="1:10" ht="20.100000000000001" customHeight="1">
      <c r="A93" s="114" t="s">
        <v>166</v>
      </c>
      <c r="B93" s="153">
        <v>1160</v>
      </c>
      <c r="C93" s="154"/>
      <c r="D93" s="154"/>
      <c r="E93" s="123"/>
      <c r="F93" s="123"/>
      <c r="G93" s="123"/>
      <c r="H93" s="123"/>
      <c r="I93" s="123"/>
      <c r="J93" s="123"/>
    </row>
    <row r="94" spans="1:10" ht="17.25" customHeight="1">
      <c r="A94" s="114" t="s">
        <v>167</v>
      </c>
      <c r="B94" s="153">
        <v>1170</v>
      </c>
      <c r="C94" s="123"/>
      <c r="D94" s="123"/>
      <c r="E94" s="123"/>
      <c r="F94" s="123"/>
      <c r="G94" s="123"/>
      <c r="H94" s="123"/>
      <c r="I94" s="123"/>
      <c r="J94" s="123"/>
    </row>
    <row r="95" spans="1:10" s="76" customFormat="1" ht="43.5" customHeight="1">
      <c r="A95" s="220" t="s">
        <v>249</v>
      </c>
      <c r="B95" s="155">
        <v>1200</v>
      </c>
      <c r="C95" s="221">
        <f>C90</f>
        <v>32.599999999999952</v>
      </c>
      <c r="D95" s="221">
        <f t="shared" ref="D95" si="18">D90+D91+D93-D92-D94</f>
        <v>27.899999999999679</v>
      </c>
      <c r="E95" s="221">
        <v>38.1</v>
      </c>
      <c r="F95" s="221">
        <f>G95+H95+I95+J95+0.1</f>
        <v>36.9387499999998</v>
      </c>
      <c r="G95" s="221">
        <f>G90+G91+G93-G92-G94</f>
        <v>15.800000000000477</v>
      </c>
      <c r="H95" s="221">
        <f t="shared" ref="H95:J95" si="19">H90+H91+H93-H92-H94</f>
        <v>9.1599999999993962</v>
      </c>
      <c r="I95" s="221">
        <f>I90+I91+I93-I92-I94</f>
        <v>6.4699999999997253</v>
      </c>
      <c r="J95" s="221">
        <f t="shared" si="19"/>
        <v>5.4087500000002002</v>
      </c>
    </row>
    <row r="96" spans="1:10" s="260" customFormat="1" ht="23.25" customHeight="1">
      <c r="A96" s="8" t="s">
        <v>109</v>
      </c>
      <c r="B96" s="111">
        <v>1210</v>
      </c>
      <c r="C96" s="261">
        <v>5.9</v>
      </c>
      <c r="D96" s="261">
        <v>5</v>
      </c>
      <c r="E96" s="261">
        <f t="shared" ref="E96" si="20">E95*0.18</f>
        <v>6.8579999999999997</v>
      </c>
      <c r="F96" s="422">
        <f>G96+H96+I96+J96</f>
        <v>7.1821750000000719</v>
      </c>
      <c r="G96" s="422">
        <f t="shared" ref="G96:J96" si="21">G95*0.18</f>
        <v>2.8440000000000856</v>
      </c>
      <c r="H96" s="422">
        <v>2.2000000000000002</v>
      </c>
      <c r="I96" s="422">
        <f t="shared" si="21"/>
        <v>1.1645999999999506</v>
      </c>
      <c r="J96" s="422">
        <f t="shared" si="21"/>
        <v>0.97357500000003605</v>
      </c>
    </row>
    <row r="97" spans="1:10" s="260" customFormat="1" ht="31.5">
      <c r="A97" s="67" t="s">
        <v>110</v>
      </c>
      <c r="B97" s="111">
        <v>1220</v>
      </c>
      <c r="C97" s="367"/>
      <c r="D97" s="367"/>
      <c r="E97" s="367"/>
      <c r="F97" s="420"/>
      <c r="G97" s="420"/>
      <c r="H97" s="420"/>
      <c r="I97" s="420"/>
      <c r="J97" s="420"/>
    </row>
    <row r="98" spans="1:10" s="76" customFormat="1" ht="41.25" customHeight="1">
      <c r="A98" s="75" t="s">
        <v>251</v>
      </c>
      <c r="B98" s="155">
        <v>1230</v>
      </c>
      <c r="C98" s="221">
        <f t="shared" ref="C98:E98" si="22">C95-C96</f>
        <v>26.699999999999953</v>
      </c>
      <c r="D98" s="221">
        <f t="shared" si="22"/>
        <v>22.899999999999679</v>
      </c>
      <c r="E98" s="221">
        <f t="shared" si="22"/>
        <v>31.242000000000001</v>
      </c>
      <c r="F98" s="221">
        <f>F95-F96-0.1</f>
        <v>29.656574999999727</v>
      </c>
      <c r="G98" s="221">
        <f t="shared" ref="G98:J98" si="23">G95-G96</f>
        <v>12.95600000000039</v>
      </c>
      <c r="H98" s="221">
        <f t="shared" si="23"/>
        <v>6.959999999999396</v>
      </c>
      <c r="I98" s="221">
        <f t="shared" si="23"/>
        <v>5.305399999999775</v>
      </c>
      <c r="J98" s="221">
        <f t="shared" si="23"/>
        <v>4.4351750000001644</v>
      </c>
    </row>
    <row r="99" spans="1:10" s="5" customFormat="1" ht="20.100000000000001" customHeight="1">
      <c r="A99" s="577" t="s">
        <v>203</v>
      </c>
      <c r="B99" s="577"/>
      <c r="C99" s="577"/>
      <c r="D99" s="577"/>
      <c r="E99" s="577"/>
      <c r="F99" s="577"/>
      <c r="G99" s="577"/>
      <c r="H99" s="577"/>
      <c r="I99" s="577"/>
      <c r="J99" s="577"/>
    </row>
    <row r="100" spans="1:10" s="260" customFormat="1" ht="20.100000000000001" customHeight="1">
      <c r="A100" s="8" t="s">
        <v>6</v>
      </c>
      <c r="B100" s="111">
        <v>1240</v>
      </c>
      <c r="C100" s="261">
        <f t="shared" ref="C100:J100" si="24">C13+C30+C91+C93</f>
        <v>12014</v>
      </c>
      <c r="D100" s="261">
        <f t="shared" si="24"/>
        <v>12962.1</v>
      </c>
      <c r="E100" s="261">
        <f t="shared" si="24"/>
        <v>13410.4</v>
      </c>
      <c r="F100" s="422">
        <f t="shared" si="24"/>
        <v>18975.39</v>
      </c>
      <c r="G100" s="422">
        <f t="shared" si="24"/>
        <v>4057</v>
      </c>
      <c r="H100" s="422">
        <f t="shared" si="24"/>
        <v>4648.3999999999996</v>
      </c>
      <c r="I100" s="422">
        <f t="shared" si="24"/>
        <v>4932.3999999999996</v>
      </c>
      <c r="J100" s="422">
        <f t="shared" si="24"/>
        <v>5337.59</v>
      </c>
    </row>
    <row r="101" spans="1:10" s="260" customFormat="1" ht="20.100000000000001" customHeight="1">
      <c r="A101" s="8" t="s">
        <v>93</v>
      </c>
      <c r="B101" s="111">
        <v>1250</v>
      </c>
      <c r="C101" s="261">
        <f>C14+C31+C62+C79+C96</f>
        <v>11987.3</v>
      </c>
      <c r="D101" s="261">
        <f t="shared" ref="D101" si="25">D14+D31+D62+D79+D92+D94+D96</f>
        <v>12939.2</v>
      </c>
      <c r="E101" s="261">
        <f>E14+E31+E62+E79+E92+E94+E96</f>
        <v>13379.238000000001</v>
      </c>
      <c r="F101" s="422">
        <f t="shared" ref="F101:J101" si="26">F14+F31+F62+F79+F92+F94+F96</f>
        <v>18945.702654999997</v>
      </c>
      <c r="G101" s="422">
        <f t="shared" si="26"/>
        <v>4044.0439999999999</v>
      </c>
      <c r="H101" s="422">
        <f t="shared" si="26"/>
        <v>4641.4399999999996</v>
      </c>
      <c r="I101" s="422">
        <f t="shared" si="26"/>
        <v>4927.0946000000004</v>
      </c>
      <c r="J101" s="422">
        <f t="shared" si="26"/>
        <v>5333.1548249999996</v>
      </c>
    </row>
    <row r="102" spans="1:10" ht="20.100000000000001" customHeight="1">
      <c r="A102" s="577" t="s">
        <v>174</v>
      </c>
      <c r="B102" s="577"/>
      <c r="C102" s="577"/>
      <c r="D102" s="577"/>
      <c r="E102" s="577"/>
      <c r="F102" s="577"/>
      <c r="G102" s="577"/>
      <c r="H102" s="577"/>
      <c r="I102" s="577"/>
      <c r="J102" s="577"/>
    </row>
    <row r="103" spans="1:10" s="260" customFormat="1" ht="20.100000000000001" customHeight="1">
      <c r="A103" s="8" t="s">
        <v>204</v>
      </c>
      <c r="B103" s="157">
        <v>1260</v>
      </c>
      <c r="C103" s="275">
        <f t="shared" ref="C103:I103" si="27">C104+C105</f>
        <v>4457.8999999999996</v>
      </c>
      <c r="D103" s="275">
        <f t="shared" si="27"/>
        <v>3653</v>
      </c>
      <c r="E103" s="275">
        <f t="shared" si="27"/>
        <v>3755.3999999999996</v>
      </c>
      <c r="F103" s="275">
        <f t="shared" si="27"/>
        <v>5633.5499999999993</v>
      </c>
      <c r="G103" s="275">
        <f t="shared" si="27"/>
        <v>1196.3000000000002</v>
      </c>
      <c r="H103" s="275">
        <f t="shared" si="27"/>
        <v>1269.8000000000002</v>
      </c>
      <c r="I103" s="275">
        <f t="shared" si="27"/>
        <v>1579.4</v>
      </c>
      <c r="J103" s="275">
        <f>J104+J105</f>
        <v>1588.05</v>
      </c>
    </row>
    <row r="104" spans="1:10" s="260" customFormat="1" ht="35.25" customHeight="1">
      <c r="A104" s="274" t="s">
        <v>202</v>
      </c>
      <c r="B104" s="448">
        <v>1261</v>
      </c>
      <c r="C104" s="438">
        <v>2278.8000000000002</v>
      </c>
      <c r="D104" s="438">
        <v>1919.8</v>
      </c>
      <c r="E104" s="265">
        <f t="shared" ref="E104" si="28">E15+E26+E60+E72+E73+E56</f>
        <v>1860.7999999999997</v>
      </c>
      <c r="F104" s="422">
        <f>F15+F26+F60+F72+F73+F56</f>
        <v>2672.1499999999996</v>
      </c>
      <c r="G104" s="422">
        <f>G15+G26+G60+G72+G73+G56-6.6</f>
        <v>630.1</v>
      </c>
      <c r="H104" s="422">
        <v>583.20000000000005</v>
      </c>
      <c r="I104" s="422">
        <v>735.4</v>
      </c>
      <c r="J104" s="422">
        <v>723.44999999999993</v>
      </c>
    </row>
    <row r="105" spans="1:10" s="260" customFormat="1" ht="20.100000000000001" customHeight="1">
      <c r="A105" s="274" t="s">
        <v>11</v>
      </c>
      <c r="B105" s="448">
        <v>1262</v>
      </c>
      <c r="C105" s="438">
        <v>2179.1</v>
      </c>
      <c r="D105" s="438">
        <v>1733.2</v>
      </c>
      <c r="E105" s="265">
        <v>1894.6</v>
      </c>
      <c r="F105" s="422">
        <f>G105+H105+I105+J105</f>
        <v>2961.4</v>
      </c>
      <c r="G105" s="447">
        <v>566.20000000000005</v>
      </c>
      <c r="H105" s="422">
        <v>686.6</v>
      </c>
      <c r="I105" s="422">
        <v>844</v>
      </c>
      <c r="J105" s="422">
        <v>864.6</v>
      </c>
    </row>
    <row r="106" spans="1:10" s="260" customFormat="1" ht="20.100000000000001" customHeight="1">
      <c r="A106" s="8" t="s">
        <v>2</v>
      </c>
      <c r="B106" s="157">
        <v>1270</v>
      </c>
      <c r="C106" s="90">
        <v>5302</v>
      </c>
      <c r="D106" s="90">
        <v>6675.4</v>
      </c>
      <c r="E106" s="261">
        <v>6913</v>
      </c>
      <c r="F106" s="422">
        <f t="shared" ref="F106:F108" si="29">G106+H106+I106+J106</f>
        <v>9987.0829999999987</v>
      </c>
      <c r="G106" s="422">
        <f>G18+G39+G65+4.2</f>
        <v>2133.6999999999998</v>
      </c>
      <c r="H106" s="422">
        <f>H18+H39+H65+3+1.5</f>
        <v>2264.3000000000002</v>
      </c>
      <c r="I106" s="422">
        <f>I18+I39+I65+18</f>
        <v>2619.471</v>
      </c>
      <c r="J106" s="422">
        <f>J18+J39+J65+9</f>
        <v>2969.6120000000001</v>
      </c>
    </row>
    <row r="107" spans="1:10" s="260" customFormat="1" ht="20.100000000000001" customHeight="1">
      <c r="A107" s="8" t="s">
        <v>3</v>
      </c>
      <c r="B107" s="157">
        <v>1280</v>
      </c>
      <c r="C107" s="90">
        <v>1145</v>
      </c>
      <c r="D107" s="90">
        <v>1468.6</v>
      </c>
      <c r="E107" s="261">
        <v>1520.8</v>
      </c>
      <c r="F107" s="422">
        <f t="shared" si="29"/>
        <v>2163.6166400000002</v>
      </c>
      <c r="G107" s="422">
        <v>453.2</v>
      </c>
      <c r="H107" s="422">
        <f>H19+H40+H66+1</f>
        <v>480.8</v>
      </c>
      <c r="I107" s="422">
        <v>577</v>
      </c>
      <c r="J107" s="422">
        <f>J19+J40+J66+1.3</f>
        <v>652.61663999999996</v>
      </c>
    </row>
    <row r="108" spans="1:10" s="260" customFormat="1" ht="20.100000000000001" customHeight="1">
      <c r="A108" s="8" t="s">
        <v>4</v>
      </c>
      <c r="B108" s="157">
        <v>1290</v>
      </c>
      <c r="C108" s="90">
        <v>253</v>
      </c>
      <c r="D108" s="90">
        <v>299.8</v>
      </c>
      <c r="E108" s="261">
        <v>295.8</v>
      </c>
      <c r="F108" s="422">
        <f t="shared" si="29"/>
        <v>239.8</v>
      </c>
      <c r="G108" s="422">
        <v>61</v>
      </c>
      <c r="H108" s="443">
        <v>37</v>
      </c>
      <c r="I108" s="443">
        <v>71.3</v>
      </c>
      <c r="J108" s="443">
        <v>70.5</v>
      </c>
    </row>
    <row r="109" spans="1:10" s="260" customFormat="1" ht="20.100000000000001" customHeight="1">
      <c r="A109" s="8" t="s">
        <v>12</v>
      </c>
      <c r="B109" s="157">
        <v>1300</v>
      </c>
      <c r="C109" s="90">
        <v>823.5</v>
      </c>
      <c r="D109" s="90">
        <v>837.4</v>
      </c>
      <c r="E109" s="261">
        <f>E23+E24+E25+E38+E43+E57+E58+E59+E74+E77+E79+E28+E36+E61+E78+E51+E75+E76</f>
        <v>887.30000000000007</v>
      </c>
      <c r="F109" s="422">
        <f>G109+H109+I109+J109+0.2</f>
        <v>914.5</v>
      </c>
      <c r="G109" s="443">
        <v>196.9</v>
      </c>
      <c r="H109" s="443">
        <v>587.29999999999995</v>
      </c>
      <c r="I109" s="443">
        <v>78.7</v>
      </c>
      <c r="J109" s="443">
        <v>51.4</v>
      </c>
    </row>
    <row r="110" spans="1:10" s="5" customFormat="1" ht="28.5" customHeight="1">
      <c r="A110" s="218" t="s">
        <v>40</v>
      </c>
      <c r="B110" s="223">
        <v>1310</v>
      </c>
      <c r="C110" s="172">
        <f t="shared" ref="C110:J110" si="30">C103+C106+C107+C108+C109</f>
        <v>11981.4</v>
      </c>
      <c r="D110" s="222">
        <f t="shared" si="30"/>
        <v>12934.199999999999</v>
      </c>
      <c r="E110" s="222">
        <f t="shared" si="30"/>
        <v>13372.299999999997</v>
      </c>
      <c r="F110" s="172">
        <f t="shared" si="30"/>
        <v>18938.549639999997</v>
      </c>
      <c r="G110" s="222">
        <f>G103+G106+G107+G108+G109+0.1</f>
        <v>4041.2</v>
      </c>
      <c r="H110" s="222">
        <f t="shared" si="30"/>
        <v>4639.2000000000007</v>
      </c>
      <c r="I110" s="222">
        <f t="shared" si="30"/>
        <v>4925.8710000000001</v>
      </c>
      <c r="J110" s="222">
        <f t="shared" si="30"/>
        <v>5332.1786400000001</v>
      </c>
    </row>
    <row r="111" spans="1:10" ht="33.75" customHeight="1">
      <c r="A111" s="406" t="s">
        <v>525</v>
      </c>
      <c r="B111" s="129"/>
      <c r="C111" s="595"/>
      <c r="D111" s="595"/>
      <c r="E111" s="595"/>
      <c r="F111" s="595"/>
      <c r="G111" s="130"/>
      <c r="H111" s="596" t="s">
        <v>330</v>
      </c>
      <c r="I111" s="596"/>
      <c r="J111" s="596"/>
    </row>
    <row r="112" spans="1:10" s="2" customFormat="1" ht="20.100000000000001" customHeight="1">
      <c r="A112" s="132" t="s">
        <v>180</v>
      </c>
      <c r="B112" s="131"/>
      <c r="C112" s="592" t="s">
        <v>222</v>
      </c>
      <c r="D112" s="592"/>
      <c r="E112" s="592"/>
      <c r="F112" s="592"/>
      <c r="G112" s="133"/>
      <c r="H112" s="593" t="s">
        <v>81</v>
      </c>
      <c r="I112" s="593"/>
      <c r="J112" s="593"/>
    </row>
    <row r="113" spans="1:10" ht="20.100000000000001" customHeight="1">
      <c r="A113" s="24"/>
      <c r="C113" s="28"/>
      <c r="D113" s="28"/>
      <c r="E113" s="28"/>
      <c r="F113" s="25"/>
      <c r="G113" s="25"/>
      <c r="H113" s="25"/>
      <c r="I113" s="25"/>
      <c r="J113" s="25"/>
    </row>
    <row r="114" spans="1:10">
      <c r="A114" s="24"/>
      <c r="C114" s="28"/>
      <c r="D114" s="28"/>
      <c r="E114" s="28"/>
      <c r="F114" s="25"/>
      <c r="G114" s="25"/>
      <c r="H114" s="25"/>
      <c r="I114" s="25"/>
      <c r="J114" s="25"/>
    </row>
    <row r="115" spans="1:10">
      <c r="A115" s="24"/>
      <c r="C115" s="28"/>
      <c r="D115" s="28"/>
      <c r="E115" s="28"/>
      <c r="F115" s="25"/>
      <c r="G115" s="25"/>
      <c r="H115" s="25"/>
      <c r="I115" s="25"/>
      <c r="J115" s="25"/>
    </row>
    <row r="116" spans="1:10">
      <c r="A116" s="24"/>
      <c r="C116" s="28"/>
      <c r="D116" s="28"/>
      <c r="E116" s="28"/>
      <c r="F116" s="25"/>
      <c r="G116" s="25"/>
      <c r="H116" s="25"/>
      <c r="I116" s="25"/>
      <c r="J116" s="25"/>
    </row>
    <row r="117" spans="1:10">
      <c r="A117" s="24"/>
      <c r="C117" s="28"/>
      <c r="D117" s="28"/>
      <c r="E117" s="28"/>
      <c r="F117" s="25"/>
      <c r="G117" s="25"/>
      <c r="H117" s="25"/>
      <c r="I117" s="25"/>
      <c r="J117" s="25"/>
    </row>
    <row r="118" spans="1:10">
      <c r="A118" s="24"/>
      <c r="C118" s="28"/>
      <c r="D118" s="28"/>
      <c r="E118" s="28"/>
      <c r="F118" s="25"/>
      <c r="G118" s="25"/>
      <c r="H118" s="25"/>
      <c r="I118" s="25"/>
      <c r="J118" s="25"/>
    </row>
    <row r="119" spans="1:10">
      <c r="A119" s="24"/>
      <c r="C119" s="28"/>
      <c r="D119" s="28"/>
      <c r="E119" s="28"/>
      <c r="F119" s="25"/>
      <c r="G119" s="25"/>
      <c r="H119" s="25"/>
      <c r="I119" s="25"/>
      <c r="J119" s="25"/>
    </row>
    <row r="120" spans="1:10">
      <c r="A120" s="24"/>
      <c r="C120" s="28"/>
      <c r="D120" s="28"/>
      <c r="E120" s="28"/>
      <c r="F120" s="25"/>
      <c r="G120" s="25"/>
      <c r="H120" s="25"/>
      <c r="I120" s="25"/>
      <c r="J120" s="25"/>
    </row>
    <row r="121" spans="1:10">
      <c r="A121" s="24"/>
      <c r="C121" s="28"/>
      <c r="D121" s="28"/>
      <c r="E121" s="28"/>
      <c r="F121" s="25"/>
      <c r="G121" s="25"/>
      <c r="H121" s="25"/>
      <c r="I121" s="25"/>
      <c r="J121" s="25"/>
    </row>
    <row r="122" spans="1:10">
      <c r="A122" s="24"/>
      <c r="C122" s="28"/>
      <c r="D122" s="28"/>
      <c r="E122" s="28"/>
      <c r="F122" s="25"/>
      <c r="G122" s="25"/>
      <c r="H122" s="25"/>
      <c r="I122" s="25"/>
      <c r="J122" s="25"/>
    </row>
    <row r="123" spans="1:10">
      <c r="A123" s="24"/>
      <c r="C123" s="28"/>
      <c r="D123" s="28"/>
      <c r="E123" s="28"/>
      <c r="F123" s="25"/>
      <c r="G123" s="25"/>
      <c r="H123" s="25"/>
      <c r="I123" s="25"/>
      <c r="J123" s="25"/>
    </row>
    <row r="124" spans="1:10">
      <c r="A124" s="24"/>
      <c r="C124" s="28"/>
      <c r="D124" s="28"/>
      <c r="E124" s="28"/>
      <c r="F124" s="25"/>
      <c r="G124" s="25"/>
      <c r="H124" s="25"/>
      <c r="I124" s="25"/>
      <c r="J124" s="25"/>
    </row>
    <row r="125" spans="1:10">
      <c r="A125" s="24"/>
      <c r="C125" s="28"/>
      <c r="D125" s="28"/>
      <c r="E125" s="28"/>
      <c r="F125" s="25"/>
      <c r="G125" s="25"/>
      <c r="H125" s="25"/>
      <c r="I125" s="25"/>
      <c r="J125" s="25"/>
    </row>
    <row r="126" spans="1:10">
      <c r="A126" s="24"/>
      <c r="C126" s="28"/>
      <c r="D126" s="28"/>
      <c r="E126" s="28"/>
      <c r="F126" s="25"/>
      <c r="G126" s="25"/>
      <c r="H126" s="25"/>
      <c r="I126" s="25"/>
      <c r="J126" s="25"/>
    </row>
    <row r="127" spans="1:10">
      <c r="A127" s="24"/>
      <c r="C127" s="28"/>
      <c r="D127" s="28"/>
      <c r="E127" s="28"/>
      <c r="F127" s="25"/>
      <c r="G127" s="25"/>
      <c r="H127" s="25"/>
      <c r="I127" s="25"/>
      <c r="J127" s="25"/>
    </row>
    <row r="128" spans="1:10">
      <c r="A128" s="24"/>
      <c r="C128" s="28"/>
      <c r="D128" s="28"/>
      <c r="E128" s="28"/>
      <c r="F128" s="25"/>
      <c r="G128" s="25"/>
      <c r="H128" s="25"/>
      <c r="I128" s="25"/>
      <c r="J128" s="25"/>
    </row>
    <row r="129" spans="1:10">
      <c r="A129" s="24"/>
      <c r="C129" s="28"/>
      <c r="D129" s="28"/>
      <c r="E129" s="28"/>
      <c r="F129" s="25"/>
      <c r="G129" s="25"/>
      <c r="H129" s="25"/>
      <c r="I129" s="25"/>
      <c r="J129" s="25"/>
    </row>
    <row r="130" spans="1:10">
      <c r="A130" s="24"/>
      <c r="C130" s="28"/>
      <c r="D130" s="28"/>
      <c r="E130" s="28"/>
      <c r="F130" s="25"/>
      <c r="G130" s="25"/>
      <c r="H130" s="25"/>
      <c r="I130" s="25"/>
      <c r="J130" s="25"/>
    </row>
    <row r="131" spans="1:10">
      <c r="A131" s="24"/>
      <c r="C131" s="28"/>
      <c r="D131" s="28"/>
      <c r="E131" s="28"/>
      <c r="F131" s="25"/>
      <c r="G131" s="25"/>
      <c r="H131" s="25"/>
      <c r="I131" s="25"/>
      <c r="J131" s="25"/>
    </row>
    <row r="132" spans="1:10">
      <c r="A132" s="24"/>
      <c r="C132" s="28"/>
      <c r="D132" s="28"/>
      <c r="E132" s="28"/>
      <c r="F132" s="25"/>
      <c r="G132" s="25"/>
      <c r="H132" s="25"/>
      <c r="I132" s="25"/>
      <c r="J132" s="25"/>
    </row>
    <row r="133" spans="1:10">
      <c r="A133" s="24"/>
      <c r="C133" s="28"/>
      <c r="D133" s="28"/>
      <c r="E133" s="28"/>
      <c r="F133" s="25"/>
      <c r="G133" s="25"/>
      <c r="H133" s="25"/>
      <c r="I133" s="25"/>
      <c r="J133" s="25"/>
    </row>
    <row r="134" spans="1:10">
      <c r="A134" s="24"/>
      <c r="C134" s="28"/>
      <c r="D134" s="28"/>
      <c r="E134" s="28"/>
      <c r="F134" s="25"/>
      <c r="G134" s="25"/>
      <c r="H134" s="25"/>
      <c r="I134" s="25"/>
      <c r="J134" s="25"/>
    </row>
    <row r="135" spans="1:10">
      <c r="A135" s="24"/>
      <c r="C135" s="28"/>
      <c r="D135" s="28"/>
      <c r="E135" s="28"/>
      <c r="F135" s="25"/>
      <c r="G135" s="25"/>
      <c r="H135" s="25"/>
      <c r="I135" s="25"/>
      <c r="J135" s="25"/>
    </row>
    <row r="136" spans="1:10">
      <c r="A136" s="24"/>
      <c r="C136" s="28"/>
      <c r="D136" s="28"/>
      <c r="E136" s="28"/>
      <c r="F136" s="25"/>
      <c r="G136" s="25"/>
      <c r="H136" s="25"/>
      <c r="I136" s="25"/>
      <c r="J136" s="25"/>
    </row>
    <row r="137" spans="1:10">
      <c r="A137" s="24"/>
      <c r="C137" s="28"/>
      <c r="D137" s="28"/>
      <c r="E137" s="28"/>
      <c r="F137" s="25"/>
      <c r="G137" s="25"/>
      <c r="H137" s="25"/>
      <c r="I137" s="25"/>
      <c r="J137" s="25"/>
    </row>
    <row r="138" spans="1:10">
      <c r="A138" s="24"/>
      <c r="C138" s="28"/>
      <c r="D138" s="28"/>
      <c r="E138" s="28"/>
      <c r="F138" s="25"/>
      <c r="G138" s="25"/>
      <c r="H138" s="25"/>
      <c r="I138" s="25"/>
      <c r="J138" s="25"/>
    </row>
    <row r="139" spans="1:10">
      <c r="A139" s="24"/>
      <c r="C139" s="28"/>
      <c r="D139" s="28"/>
      <c r="E139" s="28"/>
      <c r="F139" s="25"/>
      <c r="G139" s="25"/>
      <c r="H139" s="25"/>
      <c r="I139" s="25"/>
      <c r="J139" s="25"/>
    </row>
    <row r="140" spans="1:10">
      <c r="A140" s="24"/>
      <c r="C140" s="28"/>
      <c r="D140" s="28"/>
      <c r="E140" s="28"/>
      <c r="F140" s="25"/>
      <c r="G140" s="25"/>
      <c r="H140" s="25"/>
      <c r="I140" s="25"/>
      <c r="J140" s="25"/>
    </row>
    <row r="141" spans="1:10">
      <c r="A141" s="24"/>
      <c r="C141" s="28"/>
      <c r="D141" s="28"/>
      <c r="E141" s="28"/>
      <c r="F141" s="25"/>
      <c r="G141" s="25"/>
      <c r="H141" s="25"/>
      <c r="I141" s="25"/>
      <c r="J141" s="25"/>
    </row>
    <row r="142" spans="1:10">
      <c r="A142" s="24"/>
      <c r="C142" s="28"/>
      <c r="D142" s="28"/>
      <c r="E142" s="28"/>
      <c r="F142" s="25"/>
      <c r="G142" s="25"/>
      <c r="H142" s="25"/>
      <c r="I142" s="25"/>
      <c r="J142" s="25"/>
    </row>
    <row r="143" spans="1:10">
      <c r="A143" s="24"/>
      <c r="C143" s="28"/>
      <c r="D143" s="28"/>
      <c r="E143" s="28"/>
      <c r="F143" s="25"/>
      <c r="G143" s="25"/>
      <c r="H143" s="25"/>
      <c r="I143" s="25"/>
      <c r="J143" s="25"/>
    </row>
    <row r="144" spans="1:10">
      <c r="A144" s="24"/>
      <c r="C144" s="28"/>
      <c r="D144" s="28"/>
      <c r="E144" s="28"/>
      <c r="F144" s="25"/>
      <c r="G144" s="25"/>
      <c r="H144" s="25"/>
      <c r="I144" s="25"/>
      <c r="J144" s="25"/>
    </row>
    <row r="145" spans="1:10">
      <c r="A145" s="24"/>
      <c r="C145" s="28"/>
      <c r="D145" s="28"/>
      <c r="E145" s="28"/>
      <c r="F145" s="25"/>
      <c r="G145" s="25"/>
      <c r="H145" s="25"/>
      <c r="I145" s="25"/>
      <c r="J145" s="25"/>
    </row>
    <row r="146" spans="1:10">
      <c r="A146" s="24"/>
      <c r="C146" s="28"/>
      <c r="D146" s="28"/>
      <c r="E146" s="28"/>
      <c r="F146" s="25"/>
      <c r="G146" s="25"/>
      <c r="H146" s="25"/>
      <c r="I146" s="25"/>
      <c r="J146" s="25"/>
    </row>
    <row r="147" spans="1:10">
      <c r="A147" s="24"/>
      <c r="C147" s="28"/>
      <c r="D147" s="28"/>
      <c r="E147" s="28"/>
      <c r="F147" s="25"/>
      <c r="G147" s="25"/>
      <c r="H147" s="25"/>
      <c r="I147" s="25"/>
      <c r="J147" s="25"/>
    </row>
    <row r="148" spans="1:10">
      <c r="A148" s="24"/>
      <c r="C148" s="28"/>
      <c r="D148" s="28"/>
      <c r="E148" s="28"/>
      <c r="F148" s="25"/>
      <c r="G148" s="25"/>
      <c r="H148" s="25"/>
      <c r="I148" s="25"/>
      <c r="J148" s="25"/>
    </row>
    <row r="149" spans="1:10">
      <c r="A149" s="24"/>
      <c r="C149" s="28"/>
      <c r="D149" s="28"/>
      <c r="E149" s="28"/>
      <c r="F149" s="25"/>
      <c r="G149" s="25"/>
      <c r="H149" s="25"/>
      <c r="I149" s="25"/>
      <c r="J149" s="25"/>
    </row>
    <row r="150" spans="1:10">
      <c r="A150" s="24"/>
      <c r="C150" s="28"/>
      <c r="D150" s="28"/>
      <c r="E150" s="28"/>
      <c r="F150" s="25"/>
      <c r="G150" s="25"/>
      <c r="H150" s="25"/>
      <c r="I150" s="25"/>
      <c r="J150" s="25"/>
    </row>
    <row r="151" spans="1:10">
      <c r="A151" s="24"/>
      <c r="C151" s="28"/>
      <c r="D151" s="28"/>
      <c r="E151" s="28"/>
      <c r="F151" s="25"/>
      <c r="G151" s="25"/>
      <c r="H151" s="25"/>
      <c r="I151" s="25"/>
      <c r="J151" s="25"/>
    </row>
    <row r="152" spans="1:10">
      <c r="A152" s="24"/>
      <c r="C152" s="28"/>
      <c r="D152" s="28"/>
      <c r="E152" s="28"/>
      <c r="F152" s="25"/>
      <c r="G152" s="25"/>
      <c r="H152" s="25"/>
      <c r="I152" s="25"/>
      <c r="J152" s="25"/>
    </row>
    <row r="153" spans="1:10">
      <c r="A153" s="24"/>
      <c r="C153" s="28"/>
      <c r="D153" s="28"/>
      <c r="E153" s="28"/>
      <c r="F153" s="25"/>
      <c r="G153" s="25"/>
      <c r="H153" s="25"/>
      <c r="I153" s="25"/>
      <c r="J153" s="25"/>
    </row>
    <row r="154" spans="1:10">
      <c r="A154" s="24"/>
      <c r="C154" s="28"/>
      <c r="D154" s="28"/>
      <c r="E154" s="28"/>
      <c r="F154" s="25"/>
      <c r="G154" s="25"/>
      <c r="H154" s="25"/>
      <c r="I154" s="25"/>
      <c r="J154" s="25"/>
    </row>
    <row r="155" spans="1:10">
      <c r="A155" s="24"/>
      <c r="C155" s="28"/>
      <c r="D155" s="28"/>
      <c r="E155" s="28"/>
      <c r="F155" s="25"/>
      <c r="G155" s="25"/>
      <c r="H155" s="25"/>
      <c r="I155" s="25"/>
      <c r="J155" s="25"/>
    </row>
    <row r="156" spans="1:10">
      <c r="A156" s="24"/>
      <c r="C156" s="28"/>
      <c r="D156" s="28"/>
      <c r="E156" s="28"/>
      <c r="F156" s="25"/>
      <c r="G156" s="25"/>
      <c r="H156" s="25"/>
      <c r="I156" s="25"/>
      <c r="J156" s="25"/>
    </row>
    <row r="157" spans="1:10">
      <c r="A157" s="24"/>
      <c r="C157" s="28"/>
      <c r="D157" s="28"/>
      <c r="E157" s="28"/>
      <c r="F157" s="25"/>
      <c r="G157" s="25"/>
      <c r="H157" s="25"/>
      <c r="I157" s="25"/>
      <c r="J157" s="25"/>
    </row>
    <row r="158" spans="1:10">
      <c r="A158" s="24"/>
      <c r="C158" s="28"/>
      <c r="D158" s="28"/>
      <c r="E158" s="28"/>
      <c r="F158" s="25"/>
      <c r="G158" s="25"/>
      <c r="H158" s="25"/>
      <c r="I158" s="25"/>
      <c r="J158" s="25"/>
    </row>
    <row r="159" spans="1:10">
      <c r="A159" s="24"/>
      <c r="C159" s="28"/>
      <c r="D159" s="28"/>
      <c r="E159" s="28"/>
      <c r="F159" s="25"/>
      <c r="G159" s="25"/>
      <c r="H159" s="25"/>
      <c r="I159" s="25"/>
      <c r="J159" s="25"/>
    </row>
    <row r="160" spans="1:10">
      <c r="A160" s="24"/>
      <c r="C160" s="28"/>
      <c r="D160" s="28"/>
      <c r="E160" s="28"/>
      <c r="F160" s="25"/>
      <c r="G160" s="25"/>
      <c r="H160" s="25"/>
      <c r="I160" s="25"/>
      <c r="J160" s="25"/>
    </row>
    <row r="161" spans="1:10">
      <c r="A161" s="24"/>
      <c r="C161" s="28"/>
      <c r="D161" s="28"/>
      <c r="E161" s="28"/>
      <c r="F161" s="25"/>
      <c r="G161" s="25"/>
      <c r="H161" s="25"/>
      <c r="I161" s="25"/>
      <c r="J161" s="25"/>
    </row>
    <row r="162" spans="1:10">
      <c r="A162" s="24"/>
      <c r="C162" s="28"/>
      <c r="D162" s="28"/>
      <c r="E162" s="28"/>
      <c r="F162" s="25"/>
      <c r="G162" s="25"/>
      <c r="H162" s="25"/>
      <c r="I162" s="25"/>
      <c r="J162" s="25"/>
    </row>
    <row r="163" spans="1:10">
      <c r="A163" s="24"/>
      <c r="C163" s="28"/>
      <c r="D163" s="28"/>
      <c r="E163" s="28"/>
      <c r="F163" s="25"/>
      <c r="G163" s="25"/>
      <c r="H163" s="25"/>
      <c r="I163" s="25"/>
      <c r="J163" s="25"/>
    </row>
    <row r="164" spans="1:10">
      <c r="A164" s="24"/>
      <c r="C164" s="28"/>
      <c r="D164" s="28"/>
      <c r="E164" s="28"/>
      <c r="F164" s="25"/>
      <c r="G164" s="25"/>
      <c r="H164" s="25"/>
      <c r="I164" s="25"/>
      <c r="J164" s="25"/>
    </row>
    <row r="165" spans="1:10">
      <c r="A165" s="24"/>
      <c r="C165" s="28"/>
      <c r="D165" s="28"/>
      <c r="E165" s="28"/>
      <c r="F165" s="25"/>
      <c r="G165" s="25"/>
      <c r="H165" s="25"/>
      <c r="I165" s="25"/>
      <c r="J165" s="25"/>
    </row>
    <row r="166" spans="1:10">
      <c r="A166" s="24"/>
      <c r="C166" s="28"/>
      <c r="D166" s="28"/>
      <c r="E166" s="28"/>
      <c r="F166" s="25"/>
      <c r="G166" s="25"/>
      <c r="H166" s="25"/>
      <c r="I166" s="25"/>
      <c r="J166" s="25"/>
    </row>
    <row r="167" spans="1:10">
      <c r="A167" s="24"/>
      <c r="C167" s="28"/>
      <c r="D167" s="28"/>
      <c r="E167" s="28"/>
      <c r="F167" s="25"/>
      <c r="G167" s="25"/>
      <c r="H167" s="25"/>
      <c r="I167" s="25"/>
      <c r="J167" s="25"/>
    </row>
    <row r="168" spans="1:10">
      <c r="A168" s="24"/>
      <c r="C168" s="28"/>
      <c r="D168" s="28"/>
      <c r="E168" s="28"/>
      <c r="F168" s="25"/>
      <c r="G168" s="25"/>
      <c r="H168" s="25"/>
      <c r="I168" s="25"/>
      <c r="J168" s="25"/>
    </row>
    <row r="169" spans="1:10">
      <c r="A169" s="24"/>
      <c r="C169" s="28"/>
      <c r="D169" s="28"/>
      <c r="E169" s="28"/>
      <c r="F169" s="25"/>
      <c r="G169" s="25"/>
      <c r="H169" s="25"/>
      <c r="I169" s="25"/>
      <c r="J169" s="25"/>
    </row>
    <row r="170" spans="1:10">
      <c r="A170" s="24"/>
      <c r="C170" s="28"/>
      <c r="D170" s="28"/>
      <c r="E170" s="28"/>
      <c r="F170" s="25"/>
      <c r="G170" s="25"/>
      <c r="H170" s="25"/>
      <c r="I170" s="25"/>
      <c r="J170" s="25"/>
    </row>
    <row r="171" spans="1:10">
      <c r="A171" s="37"/>
    </row>
    <row r="172" spans="1:10">
      <c r="A172" s="37"/>
    </row>
    <row r="173" spans="1:10">
      <c r="A173" s="37"/>
    </row>
    <row r="174" spans="1:10">
      <c r="A174" s="37"/>
    </row>
    <row r="175" spans="1:10">
      <c r="A175" s="37"/>
    </row>
    <row r="176" spans="1:10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37"/>
    </row>
    <row r="185" spans="1:1">
      <c r="A185" s="37"/>
    </row>
    <row r="186" spans="1:1">
      <c r="A186" s="37"/>
    </row>
    <row r="187" spans="1:1">
      <c r="A187" s="37"/>
    </row>
    <row r="188" spans="1:1">
      <c r="A188" s="37"/>
    </row>
    <row r="189" spans="1:1">
      <c r="A189" s="37"/>
    </row>
    <row r="190" spans="1:1">
      <c r="A190" s="37"/>
    </row>
    <row r="191" spans="1:1">
      <c r="A191" s="37"/>
    </row>
    <row r="192" spans="1:1">
      <c r="A192" s="37"/>
    </row>
    <row r="193" spans="1:1">
      <c r="A193" s="37"/>
    </row>
    <row r="194" spans="1:1">
      <c r="A194" s="37"/>
    </row>
    <row r="195" spans="1:1">
      <c r="A195" s="37"/>
    </row>
    <row r="196" spans="1:1">
      <c r="A196" s="37"/>
    </row>
    <row r="197" spans="1:1">
      <c r="A197" s="37"/>
    </row>
    <row r="198" spans="1:1">
      <c r="A198" s="37"/>
    </row>
    <row r="199" spans="1:1">
      <c r="A199" s="37"/>
    </row>
    <row r="200" spans="1:1">
      <c r="A200" s="37"/>
    </row>
    <row r="201" spans="1:1">
      <c r="A201" s="37"/>
    </row>
    <row r="202" spans="1:1">
      <c r="A202" s="37"/>
    </row>
    <row r="203" spans="1:1">
      <c r="A203" s="37"/>
    </row>
    <row r="204" spans="1:1">
      <c r="A204" s="37"/>
    </row>
    <row r="205" spans="1:1">
      <c r="A205" s="37"/>
    </row>
    <row r="206" spans="1:1">
      <c r="A206" s="37"/>
    </row>
    <row r="207" spans="1:1">
      <c r="A207" s="37"/>
    </row>
    <row r="208" spans="1:1">
      <c r="A208" s="37"/>
    </row>
    <row r="209" spans="1:1">
      <c r="A209" s="37"/>
    </row>
    <row r="210" spans="1:1">
      <c r="A210" s="37"/>
    </row>
    <row r="211" spans="1:1">
      <c r="A211" s="37"/>
    </row>
    <row r="212" spans="1:1">
      <c r="A212" s="37"/>
    </row>
    <row r="213" spans="1:1">
      <c r="A213" s="37"/>
    </row>
    <row r="214" spans="1:1">
      <c r="A214" s="37"/>
    </row>
    <row r="215" spans="1:1">
      <c r="A215" s="37"/>
    </row>
    <row r="216" spans="1:1">
      <c r="A216" s="37"/>
    </row>
    <row r="217" spans="1:1">
      <c r="A217" s="37"/>
    </row>
    <row r="218" spans="1:1">
      <c r="A218" s="37"/>
    </row>
    <row r="219" spans="1:1">
      <c r="A219" s="37"/>
    </row>
    <row r="220" spans="1:1">
      <c r="A220" s="37"/>
    </row>
    <row r="221" spans="1:1">
      <c r="A221" s="37"/>
    </row>
    <row r="222" spans="1:1">
      <c r="A222" s="37"/>
    </row>
    <row r="223" spans="1:1">
      <c r="A223" s="37"/>
    </row>
    <row r="224" spans="1:1">
      <c r="A224" s="37"/>
    </row>
    <row r="225" spans="1:1">
      <c r="A225" s="37"/>
    </row>
    <row r="226" spans="1:1">
      <c r="A226" s="37"/>
    </row>
    <row r="227" spans="1:1">
      <c r="A227" s="37"/>
    </row>
    <row r="228" spans="1:1">
      <c r="A228" s="37"/>
    </row>
    <row r="229" spans="1:1">
      <c r="A229" s="37"/>
    </row>
    <row r="230" spans="1:1">
      <c r="A230" s="37"/>
    </row>
    <row r="231" spans="1:1">
      <c r="A231" s="37"/>
    </row>
    <row r="232" spans="1:1">
      <c r="A232" s="37"/>
    </row>
    <row r="233" spans="1:1">
      <c r="A233" s="37"/>
    </row>
    <row r="234" spans="1:1">
      <c r="A234" s="37"/>
    </row>
    <row r="235" spans="1:1">
      <c r="A235" s="37"/>
    </row>
    <row r="236" spans="1:1">
      <c r="A236" s="37"/>
    </row>
    <row r="237" spans="1:1">
      <c r="A237" s="37"/>
    </row>
    <row r="238" spans="1:1">
      <c r="A238" s="37"/>
    </row>
    <row r="239" spans="1:1">
      <c r="A239" s="37"/>
    </row>
    <row r="240" spans="1:1">
      <c r="A240" s="37"/>
    </row>
    <row r="241" spans="1:1">
      <c r="A241" s="37"/>
    </row>
    <row r="242" spans="1:1">
      <c r="A242" s="37"/>
    </row>
    <row r="243" spans="1:1">
      <c r="A243" s="37"/>
    </row>
    <row r="244" spans="1:1">
      <c r="A244" s="37"/>
    </row>
    <row r="245" spans="1:1">
      <c r="A245" s="37"/>
    </row>
    <row r="246" spans="1:1">
      <c r="A246" s="37"/>
    </row>
    <row r="247" spans="1:1">
      <c r="A247" s="37"/>
    </row>
    <row r="248" spans="1:1">
      <c r="A248" s="37"/>
    </row>
    <row r="249" spans="1:1">
      <c r="A249" s="37"/>
    </row>
    <row r="250" spans="1:1">
      <c r="A250" s="37"/>
    </row>
    <row r="251" spans="1:1">
      <c r="A251" s="37"/>
    </row>
    <row r="252" spans="1:1">
      <c r="A252" s="37"/>
    </row>
    <row r="253" spans="1:1">
      <c r="A253" s="37"/>
    </row>
    <row r="254" spans="1:1">
      <c r="A254" s="37"/>
    </row>
    <row r="255" spans="1:1">
      <c r="A255" s="37"/>
    </row>
    <row r="256" spans="1:1">
      <c r="A256" s="37"/>
    </row>
    <row r="257" spans="1:1">
      <c r="A257" s="37"/>
    </row>
    <row r="258" spans="1:1">
      <c r="A258" s="37"/>
    </row>
    <row r="259" spans="1:1">
      <c r="A259" s="37"/>
    </row>
    <row r="260" spans="1:1">
      <c r="A260" s="37"/>
    </row>
    <row r="261" spans="1:1">
      <c r="A261" s="37"/>
    </row>
    <row r="262" spans="1:1">
      <c r="A262" s="37"/>
    </row>
    <row r="263" spans="1:1">
      <c r="A263" s="37"/>
    </row>
    <row r="264" spans="1:1">
      <c r="A264" s="37"/>
    </row>
    <row r="265" spans="1:1">
      <c r="A265" s="37"/>
    </row>
    <row r="266" spans="1:1">
      <c r="A266" s="37"/>
    </row>
    <row r="267" spans="1:1">
      <c r="A267" s="37"/>
    </row>
    <row r="268" spans="1:1">
      <c r="A268" s="37"/>
    </row>
    <row r="269" spans="1:1">
      <c r="A269" s="37"/>
    </row>
    <row r="270" spans="1:1">
      <c r="A270" s="37"/>
    </row>
    <row r="271" spans="1:1">
      <c r="A271" s="37"/>
    </row>
    <row r="272" spans="1:1">
      <c r="A272" s="37"/>
    </row>
    <row r="273" spans="1:1">
      <c r="A273" s="37"/>
    </row>
    <row r="274" spans="1:1">
      <c r="A274" s="37"/>
    </row>
    <row r="275" spans="1:1">
      <c r="A275" s="37"/>
    </row>
    <row r="276" spans="1:1">
      <c r="A276" s="37"/>
    </row>
    <row r="277" spans="1:1">
      <c r="A277" s="37"/>
    </row>
    <row r="278" spans="1:1">
      <c r="A278" s="37"/>
    </row>
    <row r="279" spans="1:1">
      <c r="A279" s="37"/>
    </row>
    <row r="280" spans="1:1">
      <c r="A280" s="37"/>
    </row>
    <row r="281" spans="1:1">
      <c r="A281" s="37"/>
    </row>
    <row r="282" spans="1:1">
      <c r="A282" s="37"/>
    </row>
    <row r="283" spans="1:1">
      <c r="A283" s="37"/>
    </row>
    <row r="284" spans="1:1">
      <c r="A284" s="37"/>
    </row>
    <row r="285" spans="1:1">
      <c r="A285" s="37"/>
    </row>
    <row r="286" spans="1:1">
      <c r="A286" s="37"/>
    </row>
    <row r="287" spans="1:1">
      <c r="A287" s="37"/>
    </row>
    <row r="288" spans="1:1">
      <c r="A288" s="37"/>
    </row>
    <row r="289" spans="1:1">
      <c r="A289" s="37"/>
    </row>
    <row r="290" spans="1:1">
      <c r="A290" s="37"/>
    </row>
    <row r="291" spans="1:1">
      <c r="A291" s="37"/>
    </row>
    <row r="292" spans="1:1">
      <c r="A292" s="37"/>
    </row>
    <row r="293" spans="1:1">
      <c r="A293" s="37"/>
    </row>
    <row r="294" spans="1:1">
      <c r="A294" s="37"/>
    </row>
    <row r="295" spans="1:1">
      <c r="A295" s="37"/>
    </row>
    <row r="296" spans="1:1">
      <c r="A296" s="37"/>
    </row>
    <row r="297" spans="1:1">
      <c r="A297" s="37"/>
    </row>
    <row r="298" spans="1:1">
      <c r="A298" s="37"/>
    </row>
    <row r="299" spans="1:1">
      <c r="A299" s="37"/>
    </row>
    <row r="300" spans="1:1">
      <c r="A300" s="37"/>
    </row>
    <row r="301" spans="1:1">
      <c r="A301" s="37"/>
    </row>
    <row r="302" spans="1:1">
      <c r="A302" s="37"/>
    </row>
    <row r="303" spans="1:1">
      <c r="A303" s="37"/>
    </row>
    <row r="304" spans="1:1">
      <c r="A304" s="37"/>
    </row>
    <row r="305" spans="1:1">
      <c r="A305" s="37"/>
    </row>
    <row r="306" spans="1:1">
      <c r="A306" s="37"/>
    </row>
    <row r="307" spans="1:1">
      <c r="A307" s="37"/>
    </row>
    <row r="308" spans="1:1">
      <c r="A308" s="37"/>
    </row>
    <row r="309" spans="1:1">
      <c r="A309" s="37"/>
    </row>
    <row r="310" spans="1:1">
      <c r="A310" s="37"/>
    </row>
    <row r="311" spans="1:1">
      <c r="A311" s="37"/>
    </row>
    <row r="312" spans="1:1">
      <c r="A312" s="37"/>
    </row>
    <row r="313" spans="1:1">
      <c r="A313" s="37"/>
    </row>
    <row r="314" spans="1:1">
      <c r="A314" s="37"/>
    </row>
    <row r="315" spans="1:1">
      <c r="A315" s="37"/>
    </row>
    <row r="316" spans="1:1">
      <c r="A316" s="37"/>
    </row>
    <row r="317" spans="1:1">
      <c r="A317" s="37"/>
    </row>
    <row r="318" spans="1:1">
      <c r="A318" s="37"/>
    </row>
    <row r="319" spans="1:1">
      <c r="A319" s="37"/>
    </row>
    <row r="320" spans="1:1">
      <c r="A320" s="37"/>
    </row>
    <row r="321" spans="1:1">
      <c r="A321" s="37"/>
    </row>
    <row r="322" spans="1:1">
      <c r="A322" s="37"/>
    </row>
    <row r="323" spans="1:1">
      <c r="A323" s="37"/>
    </row>
    <row r="324" spans="1:1">
      <c r="A324" s="37"/>
    </row>
    <row r="325" spans="1:1">
      <c r="A325" s="37"/>
    </row>
    <row r="326" spans="1:1">
      <c r="A326" s="37"/>
    </row>
    <row r="327" spans="1:1">
      <c r="A327" s="37"/>
    </row>
    <row r="328" spans="1:1">
      <c r="A328" s="37"/>
    </row>
    <row r="329" spans="1:1">
      <c r="A329" s="37"/>
    </row>
    <row r="330" spans="1:1">
      <c r="A330" s="37"/>
    </row>
    <row r="331" spans="1:1">
      <c r="A331" s="37"/>
    </row>
    <row r="332" spans="1:1">
      <c r="A332" s="37"/>
    </row>
    <row r="333" spans="1:1">
      <c r="A333" s="37"/>
    </row>
    <row r="334" spans="1:1">
      <c r="A334" s="37"/>
    </row>
    <row r="335" spans="1:1">
      <c r="A335" s="37"/>
    </row>
    <row r="336" spans="1:1">
      <c r="A336" s="37"/>
    </row>
    <row r="337" spans="1:1">
      <c r="A337" s="37"/>
    </row>
  </sheetData>
  <mergeCells count="15">
    <mergeCell ref="A1:J1"/>
    <mergeCell ref="C3:C4"/>
    <mergeCell ref="C112:F112"/>
    <mergeCell ref="H112:J112"/>
    <mergeCell ref="A6:J6"/>
    <mergeCell ref="A99:J99"/>
    <mergeCell ref="B3:B4"/>
    <mergeCell ref="A3:A4"/>
    <mergeCell ref="D3:D4"/>
    <mergeCell ref="G3:J3"/>
    <mergeCell ref="E3:E4"/>
    <mergeCell ref="A102:J102"/>
    <mergeCell ref="C111:F111"/>
    <mergeCell ref="H111:J111"/>
    <mergeCell ref="F3:F4"/>
  </mergeCells>
  <phoneticPr fontId="0" type="noConversion"/>
  <pageMargins left="0.51181102362204722" right="0.19685039370078741" top="0.19685039370078741" bottom="0.19685039370078741" header="0.19685039370078741" footer="0.11811023622047245"/>
  <pageSetup paperSize="9" scale="65" orientation="portrait" verticalDpi="300" r:id="rId1"/>
  <headerFooter alignWithMargins="0">
    <oddHeader>&amp;C&amp;"Times New Roman,обычный"&amp;16 &amp;18 5&amp;R&amp;"Times New Roman,обычный"&amp;14 Продовження додатка 1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2:H191"/>
  <sheetViews>
    <sheetView view="pageBreakPreview" topLeftCell="A25" zoomScale="60" zoomScaleNormal="100" workbookViewId="0">
      <selection activeCell="E27" sqref="E27"/>
    </sheetView>
  </sheetViews>
  <sheetFormatPr defaultRowHeight="18.75"/>
  <cols>
    <col min="1" max="1" width="47.7109375" style="32" customWidth="1"/>
    <col min="2" max="2" width="9.5703125" style="311" customWidth="1"/>
    <col min="3" max="3" width="10.5703125" style="32" customWidth="1"/>
    <col min="4" max="4" width="10.7109375" style="32" customWidth="1"/>
    <col min="5" max="6" width="14.140625" style="32" customWidth="1"/>
    <col min="7" max="7" width="26.28515625" style="32" customWidth="1"/>
  </cols>
  <sheetData>
    <row r="2" spans="1:7">
      <c r="A2" s="597" t="s">
        <v>531</v>
      </c>
      <c r="B2" s="597"/>
      <c r="C2" s="597"/>
      <c r="D2" s="597"/>
      <c r="E2" s="597"/>
      <c r="F2" s="597"/>
      <c r="G2" s="597"/>
    </row>
    <row r="3" spans="1:7">
      <c r="A3" s="31"/>
      <c r="B3" s="73"/>
      <c r="C3" s="31"/>
      <c r="D3" s="31"/>
      <c r="E3" s="31"/>
      <c r="F3" s="31"/>
      <c r="G3" s="31"/>
    </row>
    <row r="4" spans="1:7" ht="18.75" customHeight="1">
      <c r="A4" s="545" t="s">
        <v>186</v>
      </c>
      <c r="B4" s="598" t="s">
        <v>5</v>
      </c>
      <c r="C4" s="548" t="s">
        <v>416</v>
      </c>
      <c r="D4" s="549"/>
      <c r="E4" s="549"/>
      <c r="F4" s="549"/>
      <c r="G4" s="602" t="s">
        <v>421</v>
      </c>
    </row>
    <row r="5" spans="1:7" ht="76.5" customHeight="1">
      <c r="A5" s="545"/>
      <c r="B5" s="599"/>
      <c r="C5" s="264" t="s">
        <v>414</v>
      </c>
      <c r="D5" s="264" t="s">
        <v>417</v>
      </c>
      <c r="E5" s="264" t="s">
        <v>418</v>
      </c>
      <c r="F5" s="264" t="s">
        <v>420</v>
      </c>
      <c r="G5" s="603"/>
    </row>
    <row r="6" spans="1:7">
      <c r="A6" s="38">
        <v>1</v>
      </c>
      <c r="B6" s="307">
        <v>2</v>
      </c>
      <c r="C6" s="236">
        <v>3</v>
      </c>
      <c r="D6" s="236">
        <v>4</v>
      </c>
      <c r="E6" s="236">
        <v>5</v>
      </c>
      <c r="F6" s="236">
        <v>6</v>
      </c>
      <c r="G6" s="236">
        <v>7</v>
      </c>
    </row>
    <row r="7" spans="1:7">
      <c r="A7" s="600" t="s">
        <v>116</v>
      </c>
      <c r="B7" s="600"/>
      <c r="C7" s="600"/>
      <c r="D7" s="600"/>
      <c r="E7" s="600"/>
      <c r="F7" s="600"/>
      <c r="G7" s="600"/>
    </row>
    <row r="8" spans="1:7" ht="56.25">
      <c r="A8" s="33" t="s">
        <v>42</v>
      </c>
      <c r="B8" s="240">
        <v>2000</v>
      </c>
      <c r="C8" s="88">
        <f>'2.1Розрахунки з бюджетом'!F8</f>
        <v>254</v>
      </c>
      <c r="D8" s="525">
        <v>254</v>
      </c>
      <c r="E8" s="88">
        <f>D8-C8</f>
        <v>0</v>
      </c>
      <c r="F8" s="88">
        <f>D8/C8*100</f>
        <v>100</v>
      </c>
      <c r="G8" s="297"/>
    </row>
    <row r="9" spans="1:7" ht="37.5">
      <c r="A9" s="33" t="s">
        <v>252</v>
      </c>
      <c r="B9" s="240">
        <v>2010</v>
      </c>
      <c r="C9" s="91"/>
      <c r="D9" s="432"/>
      <c r="E9" s="88"/>
      <c r="F9" s="88"/>
      <c r="G9" s="298"/>
    </row>
    <row r="10" spans="1:7" ht="22.5" customHeight="1">
      <c r="A10" s="8" t="s">
        <v>147</v>
      </c>
      <c r="B10" s="240">
        <v>2020</v>
      </c>
      <c r="C10" s="91"/>
      <c r="D10" s="432"/>
      <c r="E10" s="88"/>
      <c r="F10" s="88"/>
      <c r="G10" s="298"/>
    </row>
    <row r="11" spans="1:7">
      <c r="A11" s="33" t="s">
        <v>52</v>
      </c>
      <c r="B11" s="240">
        <v>2030</v>
      </c>
      <c r="C11" s="91"/>
      <c r="D11" s="431"/>
      <c r="E11" s="88"/>
      <c r="F11" s="88"/>
      <c r="G11" s="299"/>
    </row>
    <row r="12" spans="1:7" ht="37.5">
      <c r="A12" s="33" t="s">
        <v>104</v>
      </c>
      <c r="B12" s="240">
        <v>2031</v>
      </c>
      <c r="C12" s="91"/>
      <c r="D12" s="431"/>
      <c r="E12" s="88"/>
      <c r="F12" s="88"/>
      <c r="G12" s="299" t="s">
        <v>374</v>
      </c>
    </row>
    <row r="13" spans="1:7">
      <c r="A13" s="33" t="s">
        <v>9</v>
      </c>
      <c r="B13" s="240">
        <v>2040</v>
      </c>
      <c r="C13" s="91"/>
      <c r="D13" s="431"/>
      <c r="E13" s="88"/>
      <c r="F13" s="88"/>
      <c r="G13" s="299"/>
    </row>
    <row r="14" spans="1:7">
      <c r="A14" s="33" t="s">
        <v>91</v>
      </c>
      <c r="B14" s="240">
        <v>2050</v>
      </c>
      <c r="C14" s="91"/>
      <c r="D14" s="431"/>
      <c r="E14" s="88"/>
      <c r="F14" s="88"/>
      <c r="G14" s="299"/>
    </row>
    <row r="15" spans="1:7">
      <c r="A15" s="33" t="s">
        <v>92</v>
      </c>
      <c r="B15" s="240">
        <v>2060</v>
      </c>
      <c r="C15" s="91"/>
      <c r="D15" s="431"/>
      <c r="E15" s="88"/>
      <c r="F15" s="88"/>
      <c r="G15" s="299"/>
    </row>
    <row r="16" spans="1:7" ht="56.25">
      <c r="A16" s="33" t="s">
        <v>43</v>
      </c>
      <c r="B16" s="240">
        <v>2070</v>
      </c>
      <c r="C16" s="91">
        <f>'2.1Розрахунки з бюджетом'!F16</f>
        <v>286</v>
      </c>
      <c r="D16" s="91">
        <v>285</v>
      </c>
      <c r="E16" s="91">
        <f>D16-C16</f>
        <v>-1</v>
      </c>
      <c r="F16" s="88">
        <f>D16/C16*100</f>
        <v>99.650349650349639</v>
      </c>
      <c r="G16" s="299"/>
    </row>
    <row r="17" spans="1:8">
      <c r="A17" s="600" t="s">
        <v>431</v>
      </c>
      <c r="B17" s="600"/>
      <c r="C17" s="600"/>
      <c r="D17" s="600"/>
      <c r="E17" s="600"/>
      <c r="F17" s="600"/>
      <c r="G17" s="600"/>
    </row>
    <row r="18" spans="1:8" ht="37.5">
      <c r="A18" s="33" t="s">
        <v>252</v>
      </c>
      <c r="B18" s="240">
        <v>2100</v>
      </c>
      <c r="C18" s="91">
        <f>'2.1Розрахунки з бюджетом'!F18</f>
        <v>5.3</v>
      </c>
      <c r="D18" s="91">
        <f>'1.Фінансовий результат'!D96*0.15</f>
        <v>5.5513524072000182</v>
      </c>
      <c r="E18" s="91">
        <f>D18-C18</f>
        <v>0.25135240720001839</v>
      </c>
      <c r="F18" s="91">
        <f>D18/C18*100</f>
        <v>104.74249824905695</v>
      </c>
      <c r="G18" s="298"/>
      <c r="H18">
        <f>37*0.15</f>
        <v>5.55</v>
      </c>
    </row>
    <row r="19" spans="1:8" ht="19.5" customHeight="1">
      <c r="A19" s="33" t="s">
        <v>118</v>
      </c>
      <c r="B19" s="307">
        <v>2110</v>
      </c>
      <c r="C19" s="91">
        <f>'2.1Розрахунки з бюджетом'!F19</f>
        <v>7.1821750000000719</v>
      </c>
      <c r="D19" s="449">
        <f>'1.Фінансовий результат'!D94</f>
        <v>8.123930352000027</v>
      </c>
      <c r="E19" s="91">
        <f t="shared" ref="E19:E37" si="0">D19-C19</f>
        <v>0.94175535199995508</v>
      </c>
      <c r="F19" s="91">
        <f t="shared" ref="F19:F38" si="1">D19/C19*100</f>
        <v>113.11239773466875</v>
      </c>
      <c r="G19" s="299"/>
    </row>
    <row r="20" spans="1:8" ht="62.25" customHeight="1">
      <c r="A20" s="33" t="s">
        <v>223</v>
      </c>
      <c r="B20" s="307">
        <v>2120</v>
      </c>
      <c r="C20" s="91">
        <f>'2.1Розрахунки з бюджетом'!F20</f>
        <v>58</v>
      </c>
      <c r="D20" s="91">
        <v>65</v>
      </c>
      <c r="E20" s="91">
        <f t="shared" si="0"/>
        <v>7</v>
      </c>
      <c r="F20" s="91">
        <f t="shared" si="1"/>
        <v>112.06896551724137</v>
      </c>
      <c r="G20" s="298"/>
    </row>
    <row r="21" spans="1:8" ht="61.5" customHeight="1">
      <c r="A21" s="33" t="s">
        <v>224</v>
      </c>
      <c r="B21" s="307">
        <v>2130</v>
      </c>
      <c r="C21" s="91">
        <f>'2.1Розрахунки з бюджетом'!F21</f>
        <v>0</v>
      </c>
      <c r="D21" s="449">
        <v>0</v>
      </c>
      <c r="E21" s="91">
        <f t="shared" si="0"/>
        <v>0</v>
      </c>
      <c r="F21" s="312" t="e">
        <f t="shared" si="1"/>
        <v>#DIV/0!</v>
      </c>
      <c r="G21" s="298"/>
    </row>
    <row r="22" spans="1:8" ht="65.25" customHeight="1">
      <c r="A22" s="234" t="s">
        <v>178</v>
      </c>
      <c r="B22" s="308">
        <v>2140</v>
      </c>
      <c r="C22" s="88">
        <f>C26+C31</f>
        <v>2003.3400000000001</v>
      </c>
      <c r="D22" s="88">
        <f>D26+D31</f>
        <v>1963.2</v>
      </c>
      <c r="E22" s="91">
        <f t="shared" si="0"/>
        <v>-40.1400000000001</v>
      </c>
      <c r="F22" s="91">
        <f t="shared" si="1"/>
        <v>97.996346102009639</v>
      </c>
      <c r="G22" s="297"/>
    </row>
    <row r="23" spans="1:8">
      <c r="A23" s="33" t="s">
        <v>67</v>
      </c>
      <c r="B23" s="307">
        <v>2141</v>
      </c>
      <c r="C23" s="91"/>
      <c r="D23" s="432"/>
      <c r="E23" s="91"/>
      <c r="F23" s="91"/>
      <c r="G23" s="298"/>
    </row>
    <row r="24" spans="1:8">
      <c r="A24" s="33" t="s">
        <v>84</v>
      </c>
      <c r="B24" s="307">
        <v>2142</v>
      </c>
      <c r="C24" s="91"/>
      <c r="D24" s="432"/>
      <c r="E24" s="91"/>
      <c r="F24" s="91"/>
      <c r="G24" s="298"/>
    </row>
    <row r="25" spans="1:8">
      <c r="A25" s="33" t="s">
        <v>80</v>
      </c>
      <c r="B25" s="307">
        <v>2143</v>
      </c>
      <c r="C25" s="91"/>
      <c r="D25" s="432"/>
      <c r="E25" s="91"/>
      <c r="F25" s="91"/>
      <c r="G25" s="298"/>
    </row>
    <row r="26" spans="1:8">
      <c r="A26" s="33" t="s">
        <v>65</v>
      </c>
      <c r="B26" s="307">
        <v>2144</v>
      </c>
      <c r="C26" s="91">
        <f>'2.1Розрахунки з бюджетом'!F26</f>
        <v>1768.9</v>
      </c>
      <c r="D26" s="91">
        <v>1747</v>
      </c>
      <c r="E26" s="91">
        <f t="shared" si="0"/>
        <v>-21.900000000000091</v>
      </c>
      <c r="F26" s="91">
        <f t="shared" si="1"/>
        <v>98.761942450110226</v>
      </c>
      <c r="G26" s="92"/>
      <c r="H26">
        <f>'1.Фінансовий результат'!D104*0.18</f>
        <v>1732.1327783999998</v>
      </c>
    </row>
    <row r="27" spans="1:8" ht="37.5">
      <c r="A27" s="33" t="s">
        <v>131</v>
      </c>
      <c r="B27" s="307">
        <v>2145</v>
      </c>
      <c r="C27" s="91"/>
      <c r="D27" s="431"/>
      <c r="E27" s="91"/>
      <c r="F27" s="91"/>
      <c r="G27" s="299"/>
    </row>
    <row r="28" spans="1:8" ht="82.5" customHeight="1">
      <c r="A28" s="33" t="s">
        <v>183</v>
      </c>
      <c r="B28" s="307" t="s">
        <v>168</v>
      </c>
      <c r="C28" s="91"/>
      <c r="D28" s="432"/>
      <c r="E28" s="91"/>
      <c r="F28" s="91"/>
      <c r="G28" s="298"/>
    </row>
    <row r="29" spans="1:8">
      <c r="A29" s="33" t="s">
        <v>10</v>
      </c>
      <c r="B29" s="307" t="s">
        <v>169</v>
      </c>
      <c r="C29" s="91"/>
      <c r="D29" s="432"/>
      <c r="E29" s="91"/>
      <c r="F29" s="91"/>
      <c r="G29" s="298"/>
    </row>
    <row r="30" spans="1:8" ht="37.5">
      <c r="A30" s="33" t="s">
        <v>94</v>
      </c>
      <c r="B30" s="307">
        <v>2146</v>
      </c>
      <c r="C30" s="91"/>
      <c r="D30" s="431"/>
      <c r="E30" s="91"/>
      <c r="F30" s="91"/>
      <c r="G30" s="299"/>
    </row>
    <row r="31" spans="1:8">
      <c r="A31" s="234" t="s">
        <v>71</v>
      </c>
      <c r="B31" s="307">
        <v>2147</v>
      </c>
      <c r="C31" s="88">
        <f>C32+C33+C34+C35+C36</f>
        <v>234.44000000000003</v>
      </c>
      <c r="D31" s="88">
        <f>D32+D33+D34+D35+D36</f>
        <v>216.2</v>
      </c>
      <c r="E31" s="88">
        <f t="shared" si="0"/>
        <v>-18.240000000000038</v>
      </c>
      <c r="F31" s="88">
        <f t="shared" si="1"/>
        <v>92.219757720525493</v>
      </c>
      <c r="G31" s="299"/>
    </row>
    <row r="32" spans="1:8">
      <c r="A32" s="304" t="s">
        <v>432</v>
      </c>
      <c r="B32" s="309" t="s">
        <v>355</v>
      </c>
      <c r="C32" s="92">
        <f>'2.1Розрахунки з бюджетом'!F32</f>
        <v>5.2</v>
      </c>
      <c r="D32" s="92">
        <v>5.6</v>
      </c>
      <c r="E32" s="92">
        <f t="shared" si="0"/>
        <v>0.39999999999999947</v>
      </c>
      <c r="F32" s="92">
        <f t="shared" si="1"/>
        <v>107.69230769230769</v>
      </c>
      <c r="G32" s="299"/>
    </row>
    <row r="33" spans="1:8" ht="24.75" customHeight="1">
      <c r="A33" s="274" t="s">
        <v>433</v>
      </c>
      <c r="B33" s="309" t="s">
        <v>356</v>
      </c>
      <c r="C33" s="92">
        <f>'2.1Розрахунки з бюджетом'!F33</f>
        <v>64.240000000000009</v>
      </c>
      <c r="D33" s="92">
        <f>'1.Фінансовий результат'!D86</f>
        <v>64.099999999999994</v>
      </c>
      <c r="E33" s="92">
        <f t="shared" si="0"/>
        <v>-0.14000000000001478</v>
      </c>
      <c r="F33" s="92">
        <f t="shared" si="1"/>
        <v>99.782067247820649</v>
      </c>
      <c r="G33" s="299"/>
    </row>
    <row r="34" spans="1:8">
      <c r="A34" s="274" t="s">
        <v>358</v>
      </c>
      <c r="B34" s="309" t="s">
        <v>357</v>
      </c>
      <c r="C34" s="92">
        <f>'2.1Розрахунки з бюджетом'!F34</f>
        <v>1.2</v>
      </c>
      <c r="D34" s="92">
        <f>'1.Фінансовий результат'!D87</f>
        <v>0.9</v>
      </c>
      <c r="E34" s="92">
        <f t="shared" si="0"/>
        <v>-0.29999999999999993</v>
      </c>
      <c r="F34" s="92">
        <f t="shared" si="1"/>
        <v>75</v>
      </c>
      <c r="G34" s="299"/>
    </row>
    <row r="35" spans="1:8">
      <c r="A35" s="274" t="s">
        <v>434</v>
      </c>
      <c r="B35" s="309" t="s">
        <v>360</v>
      </c>
      <c r="C35" s="92">
        <f>'2.1Розрахунки з бюджетом'!F35</f>
        <v>0</v>
      </c>
      <c r="D35" s="92">
        <f>'1.Фінансовий результат'!D85</f>
        <v>0</v>
      </c>
      <c r="E35" s="92">
        <f t="shared" si="0"/>
        <v>0</v>
      </c>
      <c r="F35" s="92">
        <v>0</v>
      </c>
      <c r="G35" s="299"/>
    </row>
    <row r="36" spans="1:8">
      <c r="A36" s="304" t="s">
        <v>362</v>
      </c>
      <c r="B36" s="309" t="s">
        <v>361</v>
      </c>
      <c r="C36" s="92">
        <f>'2.1Розрахунки з бюджетом'!F36</f>
        <v>163.80000000000001</v>
      </c>
      <c r="D36" s="92">
        <v>145.6</v>
      </c>
      <c r="E36" s="92">
        <f t="shared" si="0"/>
        <v>-18.200000000000017</v>
      </c>
      <c r="F36" s="92">
        <f t="shared" si="1"/>
        <v>88.888888888888886</v>
      </c>
      <c r="G36" s="91"/>
      <c r="H36">
        <f>'1.Фінансовий результат'!D104*0.015</f>
        <v>144.34439819999997</v>
      </c>
    </row>
    <row r="37" spans="1:8" ht="39" customHeight="1">
      <c r="A37" s="33" t="s">
        <v>66</v>
      </c>
      <c r="B37" s="307">
        <v>2150</v>
      </c>
      <c r="C37" s="91">
        <f>'2.1Розрахунки з бюджетом'!F38</f>
        <v>2163.6166400000002</v>
      </c>
      <c r="D37" s="91">
        <f>'1.Фінансовий результат'!D105</f>
        <v>2053.0071736</v>
      </c>
      <c r="E37" s="91">
        <f t="shared" si="0"/>
        <v>-110.6094664000002</v>
      </c>
      <c r="F37" s="91">
        <f t="shared" si="1"/>
        <v>94.887751168340046</v>
      </c>
      <c r="G37" s="299"/>
    </row>
    <row r="38" spans="1:8">
      <c r="A38" s="300" t="s">
        <v>188</v>
      </c>
      <c r="B38" s="310">
        <v>2200</v>
      </c>
      <c r="C38" s="301">
        <f>C37+C22+C20+C19+C18</f>
        <v>4237.4388150000004</v>
      </c>
      <c r="D38" s="301">
        <f>D37+D22+D20+D19+D18</f>
        <v>4094.8824563591998</v>
      </c>
      <c r="E38" s="301">
        <f>D38-C38</f>
        <v>-142.55635864080068</v>
      </c>
      <c r="F38" s="301">
        <f t="shared" si="1"/>
        <v>96.635789568543885</v>
      </c>
      <c r="G38" s="302"/>
    </row>
    <row r="39" spans="1:8">
      <c r="A39" s="48"/>
      <c r="C39" s="46"/>
      <c r="D39" s="47"/>
      <c r="E39" s="47"/>
      <c r="F39" s="47"/>
      <c r="G39" s="47"/>
    </row>
    <row r="40" spans="1:8" ht="49.5" customHeight="1">
      <c r="A40" s="305" t="s">
        <v>419</v>
      </c>
      <c r="B40" s="601" t="s">
        <v>435</v>
      </c>
      <c r="C40" s="601"/>
      <c r="D40" s="12"/>
      <c r="E40" s="560" t="s">
        <v>438</v>
      </c>
      <c r="F40" s="560"/>
      <c r="G40" s="560"/>
    </row>
    <row r="41" spans="1:8" s="269" customFormat="1" ht="12.75">
      <c r="A41" s="276" t="s">
        <v>436</v>
      </c>
      <c r="B41" s="552" t="s">
        <v>62</v>
      </c>
      <c r="C41" s="552"/>
      <c r="D41" s="278"/>
      <c r="E41" s="553" t="s">
        <v>437</v>
      </c>
      <c r="F41" s="553"/>
      <c r="G41" s="553"/>
    </row>
    <row r="42" spans="1:8">
      <c r="A42" s="44"/>
    </row>
    <row r="43" spans="1:8">
      <c r="A43" s="44"/>
    </row>
    <row r="44" spans="1:8">
      <c r="A44" s="44"/>
    </row>
    <row r="45" spans="1:8">
      <c r="A45" s="44"/>
    </row>
    <row r="46" spans="1:8">
      <c r="A46" s="44"/>
    </row>
    <row r="47" spans="1:8">
      <c r="A47" s="44"/>
    </row>
    <row r="48" spans="1:8">
      <c r="A48" s="44"/>
    </row>
    <row r="49" spans="1:1">
      <c r="A49" s="44"/>
    </row>
    <row r="50" spans="1:1">
      <c r="A50" s="44"/>
    </row>
    <row r="51" spans="1:1">
      <c r="A51" s="44"/>
    </row>
    <row r="52" spans="1:1">
      <c r="A52" s="44"/>
    </row>
    <row r="53" spans="1:1">
      <c r="A53" s="44"/>
    </row>
    <row r="54" spans="1:1">
      <c r="A54" s="44"/>
    </row>
    <row r="55" spans="1:1">
      <c r="A55" s="44"/>
    </row>
    <row r="56" spans="1:1">
      <c r="A56" s="44"/>
    </row>
    <row r="57" spans="1:1">
      <c r="A57" s="44"/>
    </row>
    <row r="58" spans="1:1">
      <c r="A58" s="44"/>
    </row>
    <row r="59" spans="1:1">
      <c r="A59" s="44"/>
    </row>
    <row r="60" spans="1:1">
      <c r="A60" s="44"/>
    </row>
    <row r="61" spans="1:1">
      <c r="A61" s="44"/>
    </row>
    <row r="62" spans="1:1">
      <c r="A62" s="44"/>
    </row>
    <row r="63" spans="1:1">
      <c r="A63" s="44"/>
    </row>
    <row r="64" spans="1:1">
      <c r="A64" s="44"/>
    </row>
    <row r="65" spans="1:1">
      <c r="A65" s="44"/>
    </row>
    <row r="66" spans="1:1">
      <c r="A66" s="44"/>
    </row>
    <row r="67" spans="1:1">
      <c r="A67" s="44"/>
    </row>
    <row r="68" spans="1:1">
      <c r="A68" s="44"/>
    </row>
    <row r="69" spans="1:1">
      <c r="A69" s="44"/>
    </row>
    <row r="70" spans="1:1">
      <c r="A70" s="44"/>
    </row>
    <row r="71" spans="1:1">
      <c r="A71" s="44"/>
    </row>
    <row r="72" spans="1:1">
      <c r="A72" s="44"/>
    </row>
    <row r="73" spans="1:1">
      <c r="A73" s="44"/>
    </row>
    <row r="74" spans="1:1">
      <c r="A74" s="44"/>
    </row>
    <row r="75" spans="1:1">
      <c r="A75" s="44"/>
    </row>
    <row r="76" spans="1:1">
      <c r="A76" s="44"/>
    </row>
    <row r="77" spans="1:1">
      <c r="A77" s="44"/>
    </row>
    <row r="78" spans="1:1">
      <c r="A78" s="44"/>
    </row>
    <row r="79" spans="1:1">
      <c r="A79" s="44"/>
    </row>
    <row r="80" spans="1:1">
      <c r="A80" s="44"/>
    </row>
    <row r="81" spans="1:1">
      <c r="A81" s="44"/>
    </row>
    <row r="82" spans="1:1">
      <c r="A82" s="44"/>
    </row>
    <row r="83" spans="1:1">
      <c r="A83" s="44"/>
    </row>
    <row r="84" spans="1:1">
      <c r="A84" s="44"/>
    </row>
    <row r="85" spans="1:1">
      <c r="A85" s="44"/>
    </row>
    <row r="86" spans="1:1">
      <c r="A86" s="44"/>
    </row>
    <row r="87" spans="1:1">
      <c r="A87" s="44"/>
    </row>
    <row r="88" spans="1:1">
      <c r="A88" s="44"/>
    </row>
    <row r="89" spans="1:1">
      <c r="A89" s="44"/>
    </row>
    <row r="90" spans="1:1">
      <c r="A90" s="44"/>
    </row>
    <row r="91" spans="1:1">
      <c r="A91" s="44"/>
    </row>
    <row r="92" spans="1:1">
      <c r="A92" s="44"/>
    </row>
    <row r="93" spans="1:1">
      <c r="A93" s="44"/>
    </row>
    <row r="94" spans="1:1">
      <c r="A94" s="44"/>
    </row>
    <row r="95" spans="1:1">
      <c r="A95" s="44"/>
    </row>
    <row r="96" spans="1:1">
      <c r="A96" s="44"/>
    </row>
    <row r="97" spans="1:1">
      <c r="A97" s="44"/>
    </row>
    <row r="98" spans="1:1">
      <c r="A98" s="44"/>
    </row>
    <row r="99" spans="1:1">
      <c r="A99" s="44"/>
    </row>
    <row r="100" spans="1:1">
      <c r="A100" s="44"/>
    </row>
    <row r="101" spans="1:1">
      <c r="A101" s="44"/>
    </row>
    <row r="102" spans="1:1">
      <c r="A102" s="44"/>
    </row>
    <row r="103" spans="1:1">
      <c r="A103" s="44"/>
    </row>
    <row r="104" spans="1:1">
      <c r="A104" s="44"/>
    </row>
    <row r="105" spans="1:1">
      <c r="A105" s="44"/>
    </row>
    <row r="106" spans="1:1">
      <c r="A106" s="44"/>
    </row>
    <row r="107" spans="1:1">
      <c r="A107" s="44"/>
    </row>
    <row r="108" spans="1:1">
      <c r="A108" s="44"/>
    </row>
    <row r="109" spans="1:1">
      <c r="A109" s="44"/>
    </row>
    <row r="110" spans="1:1">
      <c r="A110" s="44"/>
    </row>
    <row r="111" spans="1:1">
      <c r="A111" s="44"/>
    </row>
    <row r="112" spans="1:1">
      <c r="A112" s="44"/>
    </row>
    <row r="113" spans="1:1">
      <c r="A113" s="44"/>
    </row>
    <row r="114" spans="1:1">
      <c r="A114" s="44"/>
    </row>
    <row r="115" spans="1:1">
      <c r="A115" s="44"/>
    </row>
    <row r="116" spans="1:1">
      <c r="A116" s="44"/>
    </row>
    <row r="117" spans="1:1">
      <c r="A117" s="44"/>
    </row>
    <row r="118" spans="1:1">
      <c r="A118" s="44"/>
    </row>
    <row r="119" spans="1:1">
      <c r="A119" s="44"/>
    </row>
    <row r="120" spans="1:1">
      <c r="A120" s="44"/>
    </row>
    <row r="121" spans="1:1">
      <c r="A121" s="44"/>
    </row>
    <row r="122" spans="1:1">
      <c r="A122" s="44"/>
    </row>
    <row r="123" spans="1:1">
      <c r="A123" s="44"/>
    </row>
    <row r="124" spans="1:1">
      <c r="A124" s="44"/>
    </row>
    <row r="125" spans="1:1">
      <c r="A125" s="44"/>
    </row>
    <row r="126" spans="1:1">
      <c r="A126" s="44"/>
    </row>
    <row r="127" spans="1:1">
      <c r="A127" s="44"/>
    </row>
    <row r="128" spans="1:1">
      <c r="A128" s="44"/>
    </row>
    <row r="129" spans="1:1">
      <c r="A129" s="44"/>
    </row>
    <row r="130" spans="1:1">
      <c r="A130" s="44"/>
    </row>
    <row r="131" spans="1:1">
      <c r="A131" s="44"/>
    </row>
    <row r="132" spans="1:1">
      <c r="A132" s="44"/>
    </row>
    <row r="133" spans="1:1">
      <c r="A133" s="44"/>
    </row>
    <row r="134" spans="1:1">
      <c r="A134" s="44"/>
    </row>
    <row r="135" spans="1:1">
      <c r="A135" s="44"/>
    </row>
    <row r="136" spans="1:1">
      <c r="A136" s="44"/>
    </row>
    <row r="137" spans="1:1">
      <c r="A137" s="44"/>
    </row>
    <row r="138" spans="1:1">
      <c r="A138" s="44"/>
    </row>
    <row r="139" spans="1:1">
      <c r="A139" s="44"/>
    </row>
    <row r="140" spans="1:1">
      <c r="A140" s="44"/>
    </row>
    <row r="141" spans="1:1">
      <c r="A141" s="44"/>
    </row>
    <row r="142" spans="1:1">
      <c r="A142" s="44"/>
    </row>
    <row r="143" spans="1:1">
      <c r="A143" s="44"/>
    </row>
    <row r="144" spans="1:1">
      <c r="A144" s="44"/>
    </row>
    <row r="145" spans="1:1">
      <c r="A145" s="44"/>
    </row>
    <row r="146" spans="1:1">
      <c r="A146" s="44"/>
    </row>
    <row r="147" spans="1:1">
      <c r="A147" s="44"/>
    </row>
    <row r="148" spans="1:1">
      <c r="A148" s="44"/>
    </row>
    <row r="149" spans="1:1">
      <c r="A149" s="44"/>
    </row>
    <row r="150" spans="1:1">
      <c r="A150" s="44"/>
    </row>
    <row r="151" spans="1:1">
      <c r="A151" s="44"/>
    </row>
    <row r="152" spans="1:1">
      <c r="A152" s="44"/>
    </row>
    <row r="153" spans="1:1">
      <c r="A153" s="44"/>
    </row>
    <row r="154" spans="1:1">
      <c r="A154" s="44"/>
    </row>
    <row r="155" spans="1:1">
      <c r="A155" s="44"/>
    </row>
    <row r="156" spans="1:1">
      <c r="A156" s="44"/>
    </row>
    <row r="157" spans="1:1">
      <c r="A157" s="44"/>
    </row>
    <row r="158" spans="1:1">
      <c r="A158" s="44"/>
    </row>
    <row r="159" spans="1:1">
      <c r="A159" s="44"/>
    </row>
    <row r="160" spans="1:1">
      <c r="A160" s="44"/>
    </row>
    <row r="161" spans="1:1">
      <c r="A161" s="44"/>
    </row>
    <row r="162" spans="1:1">
      <c r="A162" s="44"/>
    </row>
    <row r="163" spans="1:1">
      <c r="A163" s="44"/>
    </row>
    <row r="164" spans="1:1">
      <c r="A164" s="44"/>
    </row>
    <row r="165" spans="1:1">
      <c r="A165" s="44"/>
    </row>
    <row r="166" spans="1:1">
      <c r="A166" s="44"/>
    </row>
    <row r="167" spans="1:1">
      <c r="A167" s="44"/>
    </row>
    <row r="168" spans="1:1">
      <c r="A168" s="44"/>
    </row>
    <row r="169" spans="1:1">
      <c r="A169" s="44"/>
    </row>
    <row r="170" spans="1:1">
      <c r="A170" s="44"/>
    </row>
    <row r="171" spans="1:1">
      <c r="A171" s="44"/>
    </row>
    <row r="172" spans="1:1">
      <c r="A172" s="44"/>
    </row>
    <row r="173" spans="1:1">
      <c r="A173" s="44"/>
    </row>
    <row r="174" spans="1:1">
      <c r="A174" s="44"/>
    </row>
    <row r="175" spans="1:1">
      <c r="A175" s="44"/>
    </row>
    <row r="176" spans="1:1">
      <c r="A176" s="44"/>
    </row>
    <row r="177" spans="1:1">
      <c r="A177" s="44"/>
    </row>
    <row r="178" spans="1:1">
      <c r="A178" s="44"/>
    </row>
    <row r="179" spans="1:1">
      <c r="A179" s="44"/>
    </row>
    <row r="180" spans="1:1">
      <c r="A180" s="44"/>
    </row>
    <row r="181" spans="1:1">
      <c r="A181" s="44"/>
    </row>
    <row r="182" spans="1:1">
      <c r="A182" s="44"/>
    </row>
    <row r="183" spans="1:1">
      <c r="A183" s="44"/>
    </row>
    <row r="184" spans="1:1">
      <c r="A184" s="44"/>
    </row>
    <row r="185" spans="1:1">
      <c r="A185" s="44"/>
    </row>
    <row r="186" spans="1:1">
      <c r="A186" s="44"/>
    </row>
    <row r="187" spans="1:1">
      <c r="A187" s="44"/>
    </row>
    <row r="188" spans="1:1">
      <c r="A188" s="44"/>
    </row>
    <row r="189" spans="1:1">
      <c r="A189" s="44"/>
    </row>
    <row r="190" spans="1:1">
      <c r="A190" s="44"/>
    </row>
    <row r="191" spans="1:1">
      <c r="A191" s="44"/>
    </row>
  </sheetData>
  <mergeCells count="11">
    <mergeCell ref="B40:C40"/>
    <mergeCell ref="E40:G40"/>
    <mergeCell ref="B41:C41"/>
    <mergeCell ref="E41:G41"/>
    <mergeCell ref="C4:F4"/>
    <mergeCell ref="G4:G5"/>
    <mergeCell ref="A2:G2"/>
    <mergeCell ref="A4:A5"/>
    <mergeCell ref="B4:B5"/>
    <mergeCell ref="A7:G7"/>
    <mergeCell ref="A17:G1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65" orientation="portrait" r:id="rId1"/>
  <colBreaks count="1" manualBreakCount="1">
    <brk id="7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2:L193"/>
  <sheetViews>
    <sheetView view="pageBreakPreview" topLeftCell="A30" zoomScale="75" zoomScaleNormal="75" zoomScaleSheetLayoutView="75" workbookViewId="0">
      <selection activeCell="F18" sqref="F18:J39"/>
    </sheetView>
  </sheetViews>
  <sheetFormatPr defaultColWidth="77.85546875" defaultRowHeight="18.75" outlineLevelRow="1" outlineLevelCol="1"/>
  <cols>
    <col min="1" max="1" width="42" style="32" customWidth="1"/>
    <col min="2" max="2" width="10.7109375" style="35" customWidth="1"/>
    <col min="3" max="3" width="12.7109375" style="35" hidden="1" customWidth="1" outlineLevel="1"/>
    <col min="4" max="4" width="14.42578125" style="35" hidden="1" customWidth="1" outlineLevel="1"/>
    <col min="5" max="5" width="12.28515625" style="35" hidden="1" customWidth="1" outlineLevel="1"/>
    <col min="6" max="6" width="13.42578125" style="32" customWidth="1" collapsed="1"/>
    <col min="7" max="7" width="12.7109375" style="32" customWidth="1"/>
    <col min="8" max="8" width="12.140625" style="32" customWidth="1"/>
    <col min="9" max="9" width="12.85546875" style="32" customWidth="1"/>
    <col min="10" max="10" width="14.140625" style="32" customWidth="1"/>
    <col min="11" max="11" width="10" style="32" customWidth="1"/>
    <col min="12" max="12" width="9.5703125" style="32" customWidth="1"/>
    <col min="13" max="255" width="9.140625" style="32" customWidth="1"/>
    <col min="256" max="16384" width="77.85546875" style="32"/>
  </cols>
  <sheetData>
    <row r="2" spans="1:10">
      <c r="A2" s="597" t="s">
        <v>119</v>
      </c>
      <c r="B2" s="597"/>
      <c r="C2" s="597"/>
      <c r="D2" s="597"/>
      <c r="E2" s="597"/>
      <c r="F2" s="597"/>
      <c r="G2" s="597"/>
      <c r="H2" s="597"/>
      <c r="I2" s="597"/>
      <c r="J2" s="597"/>
    </row>
    <row r="3" spans="1:10" outlineLevel="1">
      <c r="A3" s="31"/>
      <c r="B3" s="40"/>
      <c r="C3" s="31"/>
      <c r="D3" s="31"/>
      <c r="E3" s="31"/>
      <c r="F3" s="31"/>
      <c r="G3" s="31"/>
      <c r="H3" s="31"/>
      <c r="I3" s="31"/>
      <c r="J3" s="31"/>
    </row>
    <row r="4" spans="1:10" ht="23.25" customHeight="1">
      <c r="A4" s="545" t="s">
        <v>186</v>
      </c>
      <c r="B4" s="604" t="s">
        <v>5</v>
      </c>
      <c r="C4" s="604" t="s">
        <v>384</v>
      </c>
      <c r="D4" s="604" t="s">
        <v>385</v>
      </c>
      <c r="E4" s="604" t="s">
        <v>383</v>
      </c>
      <c r="F4" s="605" t="s">
        <v>388</v>
      </c>
      <c r="G4" s="606" t="s">
        <v>271</v>
      </c>
      <c r="H4" s="606"/>
      <c r="I4" s="606"/>
      <c r="J4" s="606"/>
    </row>
    <row r="5" spans="1:10" ht="38.25" customHeight="1">
      <c r="A5" s="545"/>
      <c r="B5" s="604"/>
      <c r="C5" s="604"/>
      <c r="D5" s="604"/>
      <c r="E5" s="604"/>
      <c r="F5" s="605"/>
      <c r="G5" s="13" t="s">
        <v>144</v>
      </c>
      <c r="H5" s="13" t="s">
        <v>145</v>
      </c>
      <c r="I5" s="13" t="s">
        <v>146</v>
      </c>
      <c r="J5" s="13" t="s">
        <v>55</v>
      </c>
    </row>
    <row r="6" spans="1:10" ht="18" customHeight="1">
      <c r="A6" s="38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</row>
    <row r="7" spans="1:10" ht="24.95" customHeight="1">
      <c r="A7" s="600" t="s">
        <v>116</v>
      </c>
      <c r="B7" s="600"/>
      <c r="C7" s="600"/>
      <c r="D7" s="600"/>
      <c r="E7" s="600"/>
      <c r="F7" s="600"/>
      <c r="G7" s="600"/>
      <c r="H7" s="600"/>
      <c r="I7" s="600"/>
      <c r="J7" s="600"/>
    </row>
    <row r="8" spans="1:10" ht="56.25" customHeight="1">
      <c r="A8" s="33" t="s">
        <v>42</v>
      </c>
      <c r="B8" s="7">
        <v>2000</v>
      </c>
      <c r="C8" s="88">
        <v>201</v>
      </c>
      <c r="D8" s="88">
        <v>201</v>
      </c>
      <c r="E8" s="88">
        <v>224</v>
      </c>
      <c r="F8" s="88">
        <v>254</v>
      </c>
      <c r="G8" s="88">
        <v>254</v>
      </c>
      <c r="H8" s="88">
        <f>G16</f>
        <v>265</v>
      </c>
      <c r="I8" s="88">
        <f>H16</f>
        <v>271</v>
      </c>
      <c r="J8" s="88">
        <f>I16</f>
        <v>278</v>
      </c>
    </row>
    <row r="9" spans="1:10" ht="40.5" customHeight="1">
      <c r="A9" s="33" t="s">
        <v>252</v>
      </c>
      <c r="B9" s="7">
        <v>2010</v>
      </c>
      <c r="C9" s="91"/>
      <c r="D9" s="91"/>
      <c r="E9" s="91"/>
      <c r="F9" s="91"/>
      <c r="G9" s="91"/>
      <c r="H9" s="91"/>
      <c r="I9" s="91"/>
      <c r="J9" s="91"/>
    </row>
    <row r="10" spans="1:10" ht="20.100000000000001" customHeight="1">
      <c r="A10" s="8" t="s">
        <v>147</v>
      </c>
      <c r="B10" s="7">
        <v>2020</v>
      </c>
      <c r="C10" s="91"/>
      <c r="D10" s="91"/>
      <c r="E10" s="91"/>
      <c r="F10" s="91"/>
      <c r="G10" s="91"/>
      <c r="H10" s="91"/>
      <c r="I10" s="91"/>
      <c r="J10" s="91"/>
    </row>
    <row r="11" spans="1:10" s="34" customFormat="1" ht="20.100000000000001" customHeight="1">
      <c r="A11" s="33" t="s">
        <v>52</v>
      </c>
      <c r="B11" s="7">
        <v>2030</v>
      </c>
      <c r="C11" s="91"/>
      <c r="D11" s="91"/>
      <c r="E11" s="91"/>
      <c r="F11" s="91"/>
      <c r="G11" s="91"/>
      <c r="H11" s="91"/>
      <c r="I11" s="91"/>
      <c r="J11" s="91"/>
    </row>
    <row r="12" spans="1:10" ht="41.25" customHeight="1">
      <c r="A12" s="33" t="s">
        <v>104</v>
      </c>
      <c r="B12" s="7">
        <v>2031</v>
      </c>
      <c r="C12" s="91"/>
      <c r="D12" s="91"/>
      <c r="E12" s="91"/>
      <c r="F12" s="91"/>
      <c r="G12" s="91"/>
      <c r="H12" s="91"/>
      <c r="I12" s="91"/>
      <c r="J12" s="91"/>
    </row>
    <row r="13" spans="1:10" ht="20.100000000000001" customHeight="1">
      <c r="A13" s="33" t="s">
        <v>9</v>
      </c>
      <c r="B13" s="7">
        <v>2040</v>
      </c>
      <c r="C13" s="93"/>
      <c r="D13" s="93"/>
      <c r="E13" s="93"/>
      <c r="F13" s="91"/>
      <c r="G13" s="91"/>
      <c r="H13" s="91"/>
      <c r="I13" s="91"/>
      <c r="J13" s="91"/>
    </row>
    <row r="14" spans="1:10" ht="20.100000000000001" customHeight="1">
      <c r="A14" s="33" t="s">
        <v>91</v>
      </c>
      <c r="B14" s="7">
        <v>2050</v>
      </c>
      <c r="C14" s="91"/>
      <c r="D14" s="91"/>
      <c r="E14" s="91"/>
      <c r="F14" s="91"/>
      <c r="G14" s="91"/>
      <c r="H14" s="91"/>
      <c r="I14" s="91"/>
      <c r="J14" s="91"/>
    </row>
    <row r="15" spans="1:10" ht="20.100000000000001" customHeight="1">
      <c r="A15" s="33" t="s">
        <v>92</v>
      </c>
      <c r="B15" s="7">
        <v>2060</v>
      </c>
      <c r="C15" s="91"/>
      <c r="D15" s="91"/>
      <c r="E15" s="91"/>
      <c r="F15" s="91"/>
      <c r="G15" s="91"/>
      <c r="H15" s="91"/>
      <c r="I15" s="91"/>
      <c r="J15" s="91"/>
    </row>
    <row r="16" spans="1:10" ht="42.75" customHeight="1">
      <c r="A16" s="33" t="s">
        <v>43</v>
      </c>
      <c r="B16" s="7">
        <v>2070</v>
      </c>
      <c r="C16" s="91">
        <v>224</v>
      </c>
      <c r="D16" s="91">
        <v>216.3</v>
      </c>
      <c r="E16" s="91">
        <v>250.5</v>
      </c>
      <c r="F16" s="91">
        <f>J16</f>
        <v>286</v>
      </c>
      <c r="G16" s="91">
        <v>265</v>
      </c>
      <c r="H16" s="91">
        <v>271</v>
      </c>
      <c r="I16" s="91">
        <v>278</v>
      </c>
      <c r="J16" s="91">
        <v>286</v>
      </c>
    </row>
    <row r="17" spans="1:10" ht="13.5" customHeight="1">
      <c r="A17" s="600"/>
      <c r="B17" s="600"/>
      <c r="C17" s="600"/>
      <c r="D17" s="600"/>
      <c r="E17" s="600"/>
      <c r="F17" s="600"/>
      <c r="G17" s="600"/>
      <c r="H17" s="600"/>
      <c r="I17" s="600"/>
      <c r="J17" s="600"/>
    </row>
    <row r="18" spans="1:10" ht="40.5" customHeight="1">
      <c r="A18" s="33" t="s">
        <v>252</v>
      </c>
      <c r="B18" s="7">
        <v>2100</v>
      </c>
      <c r="C18" s="91">
        <v>4</v>
      </c>
      <c r="D18" s="91">
        <v>3.4</v>
      </c>
      <c r="E18" s="91">
        <f>'1.1.Фінансовий результат'!E98*0.15</f>
        <v>4.6863000000000001</v>
      </c>
      <c r="F18" s="91">
        <f>G18+H18+I18+J18</f>
        <v>5.3</v>
      </c>
      <c r="G18" s="91">
        <f>'[37]1.Фінансовий результат'!G96-0.8</f>
        <v>1.9999999999999998</v>
      </c>
      <c r="H18" s="91">
        <f>'[37]1.Фінансовий результат'!H96-1.1</f>
        <v>1.1000000000000001</v>
      </c>
      <c r="I18" s="91">
        <f>'[37]1.Фінансовий результат'!I96</f>
        <v>1.2</v>
      </c>
      <c r="J18" s="91">
        <f>'[37]1.Фінансовий результат'!J96</f>
        <v>1</v>
      </c>
    </row>
    <row r="19" spans="1:10" s="34" customFormat="1" ht="20.100000000000001" customHeight="1">
      <c r="A19" s="33" t="s">
        <v>118</v>
      </c>
      <c r="B19" s="39">
        <v>2110</v>
      </c>
      <c r="C19" s="91">
        <v>6</v>
      </c>
      <c r="D19" s="91">
        <v>5</v>
      </c>
      <c r="E19" s="91">
        <f>'1.1.Фінансовий результат'!E96</f>
        <v>6.8579999999999997</v>
      </c>
      <c r="F19" s="91">
        <f>'[38]1.1.Фінансовий результат'!F96</f>
        <v>7.1821750000000719</v>
      </c>
      <c r="G19" s="91">
        <f>'[38]1.1.Фінансовий результат'!G96</f>
        <v>2.8440000000000856</v>
      </c>
      <c r="H19" s="91">
        <f>'[38]1.1.Фінансовий результат'!H96</f>
        <v>2.2000000000000002</v>
      </c>
      <c r="I19" s="91">
        <f>'[38]1.1.Фінансовий результат'!I96</f>
        <v>1.1645999999999506</v>
      </c>
      <c r="J19" s="91">
        <f>'[38]1.1.Фінансовий результат'!J96</f>
        <v>0.97357500000003605</v>
      </c>
    </row>
    <row r="20" spans="1:10" ht="74.25" customHeight="1">
      <c r="A20" s="33" t="s">
        <v>223</v>
      </c>
      <c r="B20" s="39">
        <v>2120</v>
      </c>
      <c r="C20" s="91">
        <v>59.7</v>
      </c>
      <c r="D20" s="91">
        <v>80.400000000000006</v>
      </c>
      <c r="E20" s="91">
        <f>'1.1.Фінансовий результат'!E11*0.282</f>
        <v>81.215999999999994</v>
      </c>
      <c r="F20" s="91">
        <f>G20+H20+I20+J20</f>
        <v>58</v>
      </c>
      <c r="G20" s="449">
        <v>22</v>
      </c>
      <c r="H20" s="449">
        <f>48-G20</f>
        <v>26</v>
      </c>
      <c r="I20" s="91">
        <v>5</v>
      </c>
      <c r="J20" s="91">
        <v>5</v>
      </c>
    </row>
    <row r="21" spans="1:10" ht="75" customHeight="1">
      <c r="A21" s="33" t="s">
        <v>224</v>
      </c>
      <c r="B21" s="39">
        <v>2130</v>
      </c>
      <c r="C21" s="91"/>
      <c r="D21" s="91"/>
      <c r="E21" s="91"/>
      <c r="F21" s="91"/>
      <c r="G21" s="92"/>
      <c r="H21" s="92"/>
      <c r="I21" s="92"/>
      <c r="J21" s="92"/>
    </row>
    <row r="22" spans="1:10" s="36" customFormat="1" ht="77.25" customHeight="1">
      <c r="A22" s="42" t="s">
        <v>178</v>
      </c>
      <c r="B22" s="51">
        <v>2140</v>
      </c>
      <c r="C22" s="88">
        <f>C26+C31</f>
        <v>1325.2</v>
      </c>
      <c r="D22" s="88">
        <f t="shared" ref="D22" si="0">D26+D31</f>
        <v>1416</v>
      </c>
      <c r="E22" s="88">
        <f>E26+E31</f>
        <v>1473.9</v>
      </c>
      <c r="F22" s="88">
        <f>F26+F31</f>
        <v>2003.3400000000001</v>
      </c>
      <c r="G22" s="88">
        <f t="shared" ref="G22:J22" si="1">G26+G31</f>
        <v>474.6</v>
      </c>
      <c r="H22" s="88">
        <f t="shared" si="1"/>
        <v>465.24</v>
      </c>
      <c r="I22" s="88">
        <f t="shared" si="1"/>
        <v>528.20000000000005</v>
      </c>
      <c r="J22" s="88">
        <f t="shared" si="1"/>
        <v>535.29999999999995</v>
      </c>
    </row>
    <row r="23" spans="1:10" ht="20.100000000000001" customHeight="1">
      <c r="A23" s="33" t="s">
        <v>67</v>
      </c>
      <c r="B23" s="39">
        <v>2141</v>
      </c>
      <c r="C23" s="91"/>
      <c r="D23" s="91"/>
      <c r="E23" s="91"/>
      <c r="F23" s="91"/>
      <c r="G23" s="92"/>
      <c r="H23" s="92"/>
      <c r="I23" s="92"/>
      <c r="J23" s="92"/>
    </row>
    <row r="24" spans="1:10" ht="20.100000000000001" customHeight="1">
      <c r="A24" s="33" t="s">
        <v>84</v>
      </c>
      <c r="B24" s="39">
        <v>2142</v>
      </c>
      <c r="C24" s="91"/>
      <c r="D24" s="91"/>
      <c r="E24" s="91"/>
      <c r="F24" s="91"/>
      <c r="G24" s="92"/>
      <c r="H24" s="92"/>
      <c r="I24" s="92"/>
      <c r="J24" s="92"/>
    </row>
    <row r="25" spans="1:10" ht="20.100000000000001" customHeight="1">
      <c r="A25" s="33" t="s">
        <v>80</v>
      </c>
      <c r="B25" s="39">
        <v>2143</v>
      </c>
      <c r="C25" s="91"/>
      <c r="D25" s="91"/>
      <c r="E25" s="91"/>
      <c r="F25" s="91"/>
      <c r="G25" s="92"/>
      <c r="H25" s="92"/>
      <c r="I25" s="92"/>
      <c r="J25" s="92"/>
    </row>
    <row r="26" spans="1:10" ht="20.100000000000001" customHeight="1">
      <c r="A26" s="33" t="s">
        <v>65</v>
      </c>
      <c r="B26" s="39">
        <v>2144</v>
      </c>
      <c r="C26" s="91">
        <v>1096</v>
      </c>
      <c r="D26" s="91">
        <v>1191.0999999999999</v>
      </c>
      <c r="E26" s="91">
        <v>1244.3</v>
      </c>
      <c r="F26" s="91">
        <f>G26+H26+I26+J26</f>
        <v>1768.9</v>
      </c>
      <c r="G26" s="91">
        <v>414.3</v>
      </c>
      <c r="H26" s="91">
        <f>ROUND('[37]1.Фінансовий результат'!H106*0.18+2.1,1)</f>
        <v>409.7</v>
      </c>
      <c r="I26" s="91">
        <f>ROUND('[37]1.Фінансовий результат'!I106*0.18,1)</f>
        <v>471.5</v>
      </c>
      <c r="J26" s="91">
        <f>473.4</f>
        <v>473.4</v>
      </c>
    </row>
    <row r="27" spans="1:10" s="34" customFormat="1" ht="41.25" customHeight="1">
      <c r="A27" s="33" t="s">
        <v>131</v>
      </c>
      <c r="B27" s="39">
        <v>2145</v>
      </c>
      <c r="C27" s="91"/>
      <c r="D27" s="91"/>
      <c r="E27" s="91"/>
      <c r="F27" s="91"/>
      <c r="G27" s="91"/>
      <c r="H27" s="91"/>
      <c r="I27" s="91"/>
      <c r="J27" s="91"/>
    </row>
    <row r="28" spans="1:10" ht="95.25" customHeight="1">
      <c r="A28" s="33" t="s">
        <v>183</v>
      </c>
      <c r="B28" s="39" t="s">
        <v>168</v>
      </c>
      <c r="C28" s="91"/>
      <c r="D28" s="91"/>
      <c r="E28" s="91"/>
      <c r="F28" s="91"/>
      <c r="G28" s="92"/>
      <c r="H28" s="92"/>
      <c r="I28" s="92"/>
      <c r="J28" s="92"/>
    </row>
    <row r="29" spans="1:10" ht="20.100000000000001" customHeight="1">
      <c r="A29" s="33" t="s">
        <v>10</v>
      </c>
      <c r="B29" s="39" t="s">
        <v>169</v>
      </c>
      <c r="C29" s="91"/>
      <c r="D29" s="91"/>
      <c r="E29" s="91"/>
      <c r="F29" s="91"/>
      <c r="G29" s="92"/>
      <c r="H29" s="92"/>
      <c r="I29" s="92"/>
      <c r="J29" s="92"/>
    </row>
    <row r="30" spans="1:10" s="34" customFormat="1" ht="37.5" customHeight="1">
      <c r="A30" s="33" t="s">
        <v>94</v>
      </c>
      <c r="B30" s="39">
        <v>2146</v>
      </c>
      <c r="C30" s="91"/>
      <c r="D30" s="91"/>
      <c r="E30" s="91"/>
      <c r="F30" s="91"/>
      <c r="G30" s="91"/>
      <c r="H30" s="91"/>
      <c r="I30" s="91"/>
      <c r="J30" s="91"/>
    </row>
    <row r="31" spans="1:10" ht="20.100000000000001" customHeight="1">
      <c r="A31" s="33" t="s">
        <v>71</v>
      </c>
      <c r="B31" s="39">
        <v>2147</v>
      </c>
      <c r="C31" s="88">
        <f t="shared" ref="C31:D31" si="2">C32+C33+C34+C35+C36</f>
        <v>229.2</v>
      </c>
      <c r="D31" s="88">
        <f t="shared" si="2"/>
        <v>224.89999999999998</v>
      </c>
      <c r="E31" s="88">
        <f>E32+E33+E34+E35+E36</f>
        <v>229.60000000000002</v>
      </c>
      <c r="F31" s="88">
        <f t="shared" ref="F31:J31" si="3">F32+F33+F34+F35+F36</f>
        <v>234.44000000000003</v>
      </c>
      <c r="G31" s="88">
        <f t="shared" si="3"/>
        <v>60.3</v>
      </c>
      <c r="H31" s="88">
        <f t="shared" si="3"/>
        <v>55.540000000000006</v>
      </c>
      <c r="I31" s="88">
        <f t="shared" si="3"/>
        <v>56.7</v>
      </c>
      <c r="J31" s="88">
        <f t="shared" si="3"/>
        <v>61.900000000000006</v>
      </c>
    </row>
    <row r="32" spans="1:10" ht="20.100000000000001" customHeight="1">
      <c r="A32" s="33" t="s">
        <v>298</v>
      </c>
      <c r="B32" s="39" t="s">
        <v>355</v>
      </c>
      <c r="C32" s="91">
        <v>4</v>
      </c>
      <c r="D32" s="91">
        <v>2.6</v>
      </c>
      <c r="E32" s="91">
        <v>4.7</v>
      </c>
      <c r="F32" s="91">
        <f>G32+H32+I32+J32</f>
        <v>5.2</v>
      </c>
      <c r="G32" s="91">
        <v>2</v>
      </c>
      <c r="H32" s="91">
        <f>3.1-G32</f>
        <v>1.1000000000000001</v>
      </c>
      <c r="I32" s="91">
        <v>1.1000000000000001</v>
      </c>
      <c r="J32" s="91">
        <v>1</v>
      </c>
    </row>
    <row r="33" spans="1:12" ht="20.100000000000001" customHeight="1">
      <c r="A33" s="33" t="s">
        <v>299</v>
      </c>
      <c r="B33" s="39" t="s">
        <v>356</v>
      </c>
      <c r="C33" s="91">
        <v>119</v>
      </c>
      <c r="D33" s="91">
        <v>120</v>
      </c>
      <c r="E33" s="91">
        <f>'1.1.Фінансовий результат'!E86</f>
        <v>120</v>
      </c>
      <c r="F33" s="91">
        <f>'[38]1.1.Фінансовий результат'!F86</f>
        <v>64.240000000000009</v>
      </c>
      <c r="G33" s="91">
        <f>'[37]1.Фінансовий результат'!G86</f>
        <v>16</v>
      </c>
      <c r="H33" s="91">
        <f>'[37]1.Фінансовий результат'!H86</f>
        <v>16.14</v>
      </c>
      <c r="I33" s="91">
        <f>'[37]1.Фінансовий результат'!I86</f>
        <v>16</v>
      </c>
      <c r="J33" s="91">
        <f>'[37]1.Фінансовий результат'!J86</f>
        <v>16.100000000000001</v>
      </c>
    </row>
    <row r="34" spans="1:12" ht="20.100000000000001" customHeight="1">
      <c r="A34" s="33" t="s">
        <v>358</v>
      </c>
      <c r="B34" s="39" t="s">
        <v>357</v>
      </c>
      <c r="C34" s="91">
        <v>0.7</v>
      </c>
      <c r="D34" s="91">
        <v>0.8</v>
      </c>
      <c r="E34" s="91">
        <f>'1.1.Фінансовий результат'!E87</f>
        <v>0.8</v>
      </c>
      <c r="F34" s="91">
        <f>'[38]1.1.Фінансовий результат'!F87</f>
        <v>1.2</v>
      </c>
      <c r="G34" s="91">
        <f>'[37]1.Фінансовий результат'!G87</f>
        <v>0.3</v>
      </c>
      <c r="H34" s="91">
        <f>'[37]1.Фінансовий результат'!H87</f>
        <v>0.3</v>
      </c>
      <c r="I34" s="91">
        <f>'[37]1.Фінансовий результат'!I87</f>
        <v>0.3</v>
      </c>
      <c r="J34" s="91">
        <f>'[37]1.Фінансовий результат'!J87</f>
        <v>0.3</v>
      </c>
    </row>
    <row r="35" spans="1:12" ht="20.100000000000001" customHeight="1">
      <c r="A35" s="33" t="s">
        <v>359</v>
      </c>
      <c r="B35" s="39" t="s">
        <v>360</v>
      </c>
      <c r="C35" s="91">
        <v>1.1000000000000001</v>
      </c>
      <c r="D35" s="91">
        <v>1.4</v>
      </c>
      <c r="E35" s="91">
        <f>'1.1.Фінансовий результат'!E85</f>
        <v>0.4</v>
      </c>
      <c r="F35" s="91">
        <f>'[38]1.1.Фінансовий результат'!F85</f>
        <v>0</v>
      </c>
      <c r="G35" s="91">
        <f>'[37]1.Фінансовий результат'!G88</f>
        <v>0</v>
      </c>
      <c r="H35" s="91">
        <f>'[37]1.Фінансовий результат'!H88</f>
        <v>0</v>
      </c>
      <c r="I35" s="91">
        <f>'[37]1.Фінансовий результат'!I88</f>
        <v>0</v>
      </c>
      <c r="J35" s="91">
        <f>'[37]1.Фінансовий результат'!J88</f>
        <v>0</v>
      </c>
    </row>
    <row r="36" spans="1:12" ht="20.100000000000001" customHeight="1">
      <c r="A36" s="33" t="s">
        <v>362</v>
      </c>
      <c r="B36" s="39" t="s">
        <v>361</v>
      </c>
      <c r="C36" s="91">
        <v>104.4</v>
      </c>
      <c r="D36" s="91">
        <v>100.1</v>
      </c>
      <c r="E36" s="91">
        <v>103.7</v>
      </c>
      <c r="F36" s="91">
        <f>G36+H36+I36+J36</f>
        <v>163.80000000000001</v>
      </c>
      <c r="G36" s="91">
        <f>ROUND('[37]1.Фінансовий результат'!G106*0.015+10,1)</f>
        <v>42</v>
      </c>
      <c r="H36" s="91">
        <f>ROUND('[37]1.Фінансовий результат'!H106*0.015+4,1)</f>
        <v>38</v>
      </c>
      <c r="I36" s="91">
        <f>ROUND('[37]1.Фінансовий результат'!I106*0.015,1)</f>
        <v>39.299999999999997</v>
      </c>
      <c r="J36" s="91">
        <f>ROUND('[37]1.Фінансовий результат'!J106*0.015,1)</f>
        <v>44.5</v>
      </c>
    </row>
    <row r="37" spans="1:12" ht="20.100000000000001" customHeight="1">
      <c r="A37" s="33" t="s">
        <v>536</v>
      </c>
      <c r="B37" s="236" t="s">
        <v>537</v>
      </c>
      <c r="C37" s="91"/>
      <c r="D37" s="91"/>
      <c r="E37" s="91"/>
      <c r="F37" s="91">
        <f>G37+H37+I37+J37</f>
        <v>0</v>
      </c>
      <c r="G37" s="91">
        <v>0</v>
      </c>
      <c r="H37" s="91">
        <v>0</v>
      </c>
      <c r="I37" s="91">
        <v>0</v>
      </c>
      <c r="J37" s="91">
        <v>0</v>
      </c>
    </row>
    <row r="38" spans="1:12" s="34" customFormat="1" ht="36" customHeight="1">
      <c r="A38" s="33" t="s">
        <v>66</v>
      </c>
      <c r="B38" s="39">
        <v>2150</v>
      </c>
      <c r="C38" s="91">
        <v>1145</v>
      </c>
      <c r="D38" s="91">
        <v>1468.6</v>
      </c>
      <c r="E38" s="91">
        <f>'1.1.Фінансовий результат'!E107</f>
        <v>1520.8</v>
      </c>
      <c r="F38" s="91">
        <f>'[38]1.1.Фінансовий результат'!F107</f>
        <v>2163.6166400000002</v>
      </c>
      <c r="G38" s="91">
        <f>'[38]1.1.Фінансовий результат'!G107</f>
        <v>453.2</v>
      </c>
      <c r="H38" s="91">
        <f>'[38]1.1.Фінансовий результат'!H107</f>
        <v>480.8</v>
      </c>
      <c r="I38" s="91">
        <f>'[38]1.1.Фінансовий результат'!I107</f>
        <v>577</v>
      </c>
      <c r="J38" s="91">
        <f>'[38]1.1.Фінансовий результат'!J107</f>
        <v>652.61663999999996</v>
      </c>
    </row>
    <row r="39" spans="1:12" s="79" customFormat="1" ht="39" customHeight="1">
      <c r="A39" s="77" t="s">
        <v>188</v>
      </c>
      <c r="B39" s="78">
        <v>2200</v>
      </c>
      <c r="C39" s="89">
        <f t="shared" ref="C39:D39" si="4">C18+C19+C20+C22+C38</f>
        <v>2539.9</v>
      </c>
      <c r="D39" s="89">
        <f t="shared" si="4"/>
        <v>2973.3999999999996</v>
      </c>
      <c r="E39" s="89">
        <v>3087.5</v>
      </c>
      <c r="F39" s="89">
        <f>F18+F19+F20+F22+F38</f>
        <v>4237.4388150000004</v>
      </c>
      <c r="G39" s="89">
        <f>G18+G19+G20+G22+G38</f>
        <v>954.64400000000012</v>
      </c>
      <c r="H39" s="89">
        <f>H18+H19+H20+H22+H38</f>
        <v>975.34</v>
      </c>
      <c r="I39" s="89">
        <f t="shared" ref="I39:J39" si="5">I18+I19+I20+I22+I38</f>
        <v>1112.5646000000002</v>
      </c>
      <c r="J39" s="89">
        <f t="shared" si="5"/>
        <v>1194.8902149999999</v>
      </c>
    </row>
    <row r="40" spans="1:12" s="34" customFormat="1" ht="20.100000000000001" customHeight="1">
      <c r="A40" s="48"/>
      <c r="B40" s="35"/>
      <c r="C40" s="46"/>
      <c r="D40" s="46"/>
      <c r="E40" s="46"/>
      <c r="F40" s="46"/>
      <c r="G40" s="47"/>
      <c r="H40" s="47"/>
      <c r="I40" s="47"/>
      <c r="J40" s="47"/>
    </row>
    <row r="41" spans="1:12" s="34" customFormat="1" ht="20.100000000000001" customHeight="1">
      <c r="A41" s="48"/>
      <c r="B41" s="35"/>
      <c r="C41" s="46"/>
      <c r="D41" s="46"/>
      <c r="E41" s="46"/>
      <c r="F41" s="46"/>
      <c r="G41" s="47"/>
      <c r="H41" s="47"/>
      <c r="I41" s="47"/>
      <c r="J41" s="47"/>
    </row>
    <row r="42" spans="1:12" s="3" customFormat="1" ht="20.100000000000001" customHeight="1">
      <c r="A42" s="41" t="s">
        <v>197</v>
      </c>
      <c r="B42" s="1"/>
      <c r="C42" s="609" t="s">
        <v>85</v>
      </c>
      <c r="D42" s="609"/>
      <c r="E42" s="609"/>
      <c r="F42" s="610"/>
      <c r="G42" s="12"/>
      <c r="H42" s="611" t="s">
        <v>330</v>
      </c>
      <c r="I42" s="611"/>
      <c r="J42" s="611"/>
    </row>
    <row r="43" spans="1:12" s="2" customFormat="1" ht="20.100000000000001" customHeight="1">
      <c r="A43" s="49" t="s">
        <v>198</v>
      </c>
      <c r="B43" s="3"/>
      <c r="C43" s="607" t="s">
        <v>196</v>
      </c>
      <c r="D43" s="607"/>
      <c r="E43" s="607"/>
      <c r="F43" s="607"/>
      <c r="G43" s="23"/>
      <c r="H43" s="608" t="s">
        <v>81</v>
      </c>
      <c r="I43" s="608"/>
      <c r="J43" s="608"/>
    </row>
    <row r="44" spans="1:12" s="35" customFormat="1">
      <c r="A44" s="44"/>
      <c r="F44" s="32"/>
      <c r="G44" s="32"/>
      <c r="H44" s="32"/>
      <c r="I44" s="32"/>
      <c r="J44" s="32"/>
      <c r="K44" s="32"/>
      <c r="L44" s="32"/>
    </row>
    <row r="45" spans="1:12" s="35" customFormat="1">
      <c r="A45" s="44"/>
      <c r="F45" s="32"/>
      <c r="G45" s="32"/>
      <c r="H45" s="32"/>
      <c r="I45" s="32"/>
      <c r="J45" s="32"/>
      <c r="K45" s="32"/>
      <c r="L45" s="32"/>
    </row>
    <row r="46" spans="1:12" s="35" customFormat="1">
      <c r="A46" s="44"/>
      <c r="F46" s="32"/>
      <c r="G46" s="32"/>
      <c r="H46" s="32"/>
      <c r="I46" s="32"/>
      <c r="J46" s="32"/>
      <c r="K46" s="32"/>
      <c r="L46" s="32"/>
    </row>
    <row r="47" spans="1:12" s="35" customFormat="1">
      <c r="A47" s="44"/>
      <c r="F47" s="32"/>
      <c r="G47" s="32"/>
      <c r="H47" s="32"/>
      <c r="I47" s="32"/>
      <c r="J47" s="32"/>
      <c r="K47" s="32"/>
      <c r="L47" s="32"/>
    </row>
    <row r="48" spans="1:12" s="35" customFormat="1">
      <c r="A48" s="44"/>
      <c r="F48" s="32"/>
      <c r="G48" s="32"/>
      <c r="H48" s="32"/>
      <c r="I48" s="32"/>
      <c r="J48" s="32"/>
      <c r="K48" s="32"/>
      <c r="L48" s="32"/>
    </row>
    <row r="49" spans="1:12" s="35" customFormat="1">
      <c r="A49" s="44"/>
      <c r="F49" s="32"/>
      <c r="G49" s="32"/>
      <c r="H49" s="32"/>
      <c r="I49" s="32"/>
      <c r="J49" s="32"/>
      <c r="K49" s="32"/>
      <c r="L49" s="32"/>
    </row>
    <row r="50" spans="1:12" s="35" customFormat="1">
      <c r="A50" s="44"/>
      <c r="F50" s="32"/>
      <c r="G50" s="32"/>
      <c r="H50" s="32"/>
      <c r="I50" s="32"/>
      <c r="J50" s="32"/>
      <c r="K50" s="32"/>
      <c r="L50" s="32"/>
    </row>
    <row r="51" spans="1:12" s="35" customFormat="1">
      <c r="A51" s="44"/>
      <c r="F51" s="32"/>
      <c r="G51" s="32"/>
      <c r="H51" s="32"/>
      <c r="I51" s="32"/>
      <c r="J51" s="32"/>
      <c r="K51" s="32"/>
      <c r="L51" s="32"/>
    </row>
    <row r="52" spans="1:12" s="35" customFormat="1">
      <c r="A52" s="44"/>
      <c r="F52" s="32"/>
      <c r="G52" s="32"/>
      <c r="H52" s="32"/>
      <c r="I52" s="32"/>
      <c r="J52" s="32"/>
      <c r="K52" s="32"/>
      <c r="L52" s="32"/>
    </row>
    <row r="53" spans="1:12" s="35" customFormat="1">
      <c r="A53" s="44"/>
      <c r="F53" s="32"/>
      <c r="G53" s="32"/>
      <c r="H53" s="32"/>
      <c r="I53" s="32"/>
      <c r="J53" s="32"/>
      <c r="K53" s="32"/>
      <c r="L53" s="32"/>
    </row>
    <row r="54" spans="1:12" s="35" customFormat="1">
      <c r="A54" s="44"/>
      <c r="F54" s="32"/>
      <c r="G54" s="32"/>
      <c r="H54" s="32"/>
      <c r="I54" s="32"/>
      <c r="J54" s="32"/>
      <c r="K54" s="32"/>
      <c r="L54" s="32"/>
    </row>
    <row r="55" spans="1:12" s="35" customFormat="1">
      <c r="A55" s="44"/>
      <c r="F55" s="32"/>
      <c r="G55" s="32"/>
      <c r="H55" s="32"/>
      <c r="I55" s="32"/>
      <c r="J55" s="32"/>
      <c r="K55" s="32"/>
      <c r="L55" s="32"/>
    </row>
    <row r="56" spans="1:12" s="35" customFormat="1">
      <c r="A56" s="44"/>
      <c r="F56" s="32"/>
      <c r="G56" s="32"/>
      <c r="H56" s="32"/>
      <c r="I56" s="32"/>
      <c r="J56" s="32"/>
      <c r="K56" s="32"/>
      <c r="L56" s="32"/>
    </row>
    <row r="57" spans="1:12" s="35" customFormat="1">
      <c r="A57" s="44"/>
      <c r="F57" s="32"/>
      <c r="G57" s="32"/>
      <c r="H57" s="32"/>
      <c r="I57" s="32"/>
      <c r="J57" s="32"/>
      <c r="K57" s="32"/>
      <c r="L57" s="32"/>
    </row>
    <row r="58" spans="1:12" s="35" customFormat="1">
      <c r="A58" s="44"/>
      <c r="F58" s="32"/>
      <c r="G58" s="32"/>
      <c r="H58" s="32"/>
      <c r="I58" s="32"/>
      <c r="J58" s="32"/>
      <c r="K58" s="32"/>
      <c r="L58" s="32"/>
    </row>
    <row r="59" spans="1:12" s="35" customFormat="1">
      <c r="A59" s="44"/>
      <c r="F59" s="32"/>
      <c r="G59" s="32"/>
      <c r="H59" s="32"/>
      <c r="I59" s="32"/>
      <c r="J59" s="32"/>
      <c r="K59" s="32"/>
      <c r="L59" s="32"/>
    </row>
    <row r="60" spans="1:12" s="35" customFormat="1">
      <c r="A60" s="44"/>
      <c r="F60" s="32"/>
      <c r="G60" s="32"/>
      <c r="H60" s="32"/>
      <c r="I60" s="32"/>
      <c r="J60" s="32"/>
      <c r="K60" s="32"/>
      <c r="L60" s="32"/>
    </row>
    <row r="61" spans="1:12" s="35" customFormat="1">
      <c r="A61" s="44"/>
      <c r="F61" s="32"/>
      <c r="G61" s="32"/>
      <c r="H61" s="32"/>
      <c r="I61" s="32"/>
      <c r="J61" s="32"/>
      <c r="K61" s="32"/>
      <c r="L61" s="32"/>
    </row>
    <row r="62" spans="1:12" s="35" customFormat="1">
      <c r="A62" s="44"/>
      <c r="F62" s="32"/>
      <c r="G62" s="32"/>
      <c r="H62" s="32"/>
      <c r="I62" s="32"/>
      <c r="J62" s="32"/>
      <c r="K62" s="32"/>
      <c r="L62" s="32"/>
    </row>
    <row r="63" spans="1:12" s="35" customFormat="1">
      <c r="A63" s="44"/>
      <c r="F63" s="32"/>
      <c r="G63" s="32"/>
      <c r="H63" s="32"/>
      <c r="I63" s="32"/>
      <c r="J63" s="32"/>
      <c r="K63" s="32"/>
      <c r="L63" s="32"/>
    </row>
    <row r="64" spans="1:12" s="35" customFormat="1">
      <c r="A64" s="44"/>
      <c r="F64" s="32"/>
      <c r="G64" s="32"/>
      <c r="H64" s="32"/>
      <c r="I64" s="32"/>
      <c r="J64" s="32"/>
      <c r="K64" s="32"/>
      <c r="L64" s="32"/>
    </row>
    <row r="65" spans="1:12" s="35" customFormat="1">
      <c r="A65" s="44"/>
      <c r="F65" s="32"/>
      <c r="G65" s="32"/>
      <c r="H65" s="32"/>
      <c r="I65" s="32"/>
      <c r="J65" s="32"/>
      <c r="K65" s="32"/>
      <c r="L65" s="32"/>
    </row>
    <row r="66" spans="1:12" s="35" customFormat="1">
      <c r="A66" s="44"/>
      <c r="F66" s="32"/>
      <c r="G66" s="32"/>
      <c r="H66" s="32"/>
      <c r="I66" s="32"/>
      <c r="J66" s="32"/>
      <c r="K66" s="32"/>
      <c r="L66" s="32"/>
    </row>
    <row r="67" spans="1:12" s="35" customFormat="1">
      <c r="A67" s="44"/>
      <c r="F67" s="32"/>
      <c r="G67" s="32"/>
      <c r="H67" s="32"/>
      <c r="I67" s="32"/>
      <c r="J67" s="32"/>
      <c r="K67" s="32"/>
      <c r="L67" s="32"/>
    </row>
    <row r="68" spans="1:12" s="35" customFormat="1">
      <c r="A68" s="44"/>
      <c r="F68" s="32"/>
      <c r="G68" s="32"/>
      <c r="H68" s="32"/>
      <c r="I68" s="32"/>
      <c r="J68" s="32"/>
      <c r="K68" s="32"/>
      <c r="L68" s="32"/>
    </row>
    <row r="69" spans="1:12" s="35" customFormat="1">
      <c r="A69" s="44"/>
      <c r="F69" s="32"/>
      <c r="G69" s="32"/>
      <c r="H69" s="32"/>
      <c r="I69" s="32"/>
      <c r="J69" s="32"/>
      <c r="K69" s="32"/>
      <c r="L69" s="32"/>
    </row>
    <row r="70" spans="1:12" s="35" customFormat="1">
      <c r="A70" s="44"/>
      <c r="F70" s="32"/>
      <c r="G70" s="32"/>
      <c r="H70" s="32"/>
      <c r="I70" s="32"/>
      <c r="J70" s="32"/>
      <c r="K70" s="32"/>
      <c r="L70" s="32"/>
    </row>
    <row r="71" spans="1:12" s="35" customFormat="1">
      <c r="A71" s="44"/>
      <c r="F71" s="32"/>
      <c r="G71" s="32"/>
      <c r="H71" s="32"/>
      <c r="I71" s="32"/>
      <c r="J71" s="32"/>
      <c r="K71" s="32"/>
      <c r="L71" s="32"/>
    </row>
    <row r="72" spans="1:12" s="35" customFormat="1">
      <c r="A72" s="44"/>
      <c r="F72" s="32"/>
      <c r="G72" s="32"/>
      <c r="H72" s="32"/>
      <c r="I72" s="32"/>
      <c r="J72" s="32"/>
      <c r="K72" s="32"/>
      <c r="L72" s="32"/>
    </row>
    <row r="73" spans="1:12" s="35" customFormat="1">
      <c r="A73" s="44"/>
      <c r="F73" s="32"/>
      <c r="G73" s="32"/>
      <c r="H73" s="32"/>
      <c r="I73" s="32"/>
      <c r="J73" s="32"/>
      <c r="K73" s="32"/>
      <c r="L73" s="32"/>
    </row>
    <row r="74" spans="1:12" s="35" customFormat="1">
      <c r="A74" s="44"/>
      <c r="F74" s="32"/>
      <c r="G74" s="32"/>
      <c r="H74" s="32"/>
      <c r="I74" s="32"/>
      <c r="J74" s="32"/>
      <c r="K74" s="32"/>
      <c r="L74" s="32"/>
    </row>
    <row r="75" spans="1:12" s="35" customFormat="1">
      <c r="A75" s="44"/>
      <c r="F75" s="32"/>
      <c r="G75" s="32"/>
      <c r="H75" s="32"/>
      <c r="I75" s="32"/>
      <c r="J75" s="32"/>
      <c r="K75" s="32"/>
      <c r="L75" s="32"/>
    </row>
    <row r="76" spans="1:12" s="35" customFormat="1">
      <c r="A76" s="44"/>
      <c r="F76" s="32"/>
      <c r="G76" s="32"/>
      <c r="H76" s="32"/>
      <c r="I76" s="32"/>
      <c r="J76" s="32"/>
      <c r="K76" s="32"/>
      <c r="L76" s="32"/>
    </row>
    <row r="77" spans="1:12" s="35" customFormat="1">
      <c r="A77" s="44"/>
      <c r="F77" s="32"/>
      <c r="G77" s="32"/>
      <c r="H77" s="32"/>
      <c r="I77" s="32"/>
      <c r="J77" s="32"/>
      <c r="K77" s="32"/>
      <c r="L77" s="32"/>
    </row>
    <row r="78" spans="1:12" s="35" customFormat="1">
      <c r="A78" s="44"/>
      <c r="F78" s="32"/>
      <c r="G78" s="32"/>
      <c r="H78" s="32"/>
      <c r="I78" s="32"/>
      <c r="J78" s="32"/>
      <c r="K78" s="32"/>
      <c r="L78" s="32"/>
    </row>
    <row r="79" spans="1:12" s="35" customFormat="1">
      <c r="A79" s="44"/>
      <c r="F79" s="32"/>
      <c r="G79" s="32"/>
      <c r="H79" s="32"/>
      <c r="I79" s="32"/>
      <c r="J79" s="32"/>
      <c r="K79" s="32"/>
      <c r="L79" s="32"/>
    </row>
    <row r="80" spans="1:12" s="35" customFormat="1">
      <c r="A80" s="44"/>
      <c r="F80" s="32"/>
      <c r="G80" s="32"/>
      <c r="H80" s="32"/>
      <c r="I80" s="32"/>
      <c r="J80" s="32"/>
      <c r="K80" s="32"/>
      <c r="L80" s="32"/>
    </row>
    <row r="81" spans="1:12" s="35" customFormat="1">
      <c r="A81" s="44"/>
      <c r="F81" s="32"/>
      <c r="G81" s="32"/>
      <c r="H81" s="32"/>
      <c r="I81" s="32"/>
      <c r="J81" s="32"/>
      <c r="K81" s="32"/>
      <c r="L81" s="32"/>
    </row>
    <row r="82" spans="1:12" s="35" customFormat="1">
      <c r="A82" s="44"/>
      <c r="F82" s="32"/>
      <c r="G82" s="32"/>
      <c r="H82" s="32"/>
      <c r="I82" s="32"/>
      <c r="J82" s="32"/>
      <c r="K82" s="32"/>
      <c r="L82" s="32"/>
    </row>
    <row r="83" spans="1:12" s="35" customFormat="1">
      <c r="A83" s="44"/>
      <c r="F83" s="32"/>
      <c r="G83" s="32"/>
      <c r="H83" s="32"/>
      <c r="I83" s="32"/>
      <c r="J83" s="32"/>
      <c r="K83" s="32"/>
      <c r="L83" s="32"/>
    </row>
    <row r="84" spans="1:12" s="35" customFormat="1">
      <c r="A84" s="44"/>
      <c r="F84" s="32"/>
      <c r="G84" s="32"/>
      <c r="H84" s="32"/>
      <c r="I84" s="32"/>
      <c r="J84" s="32"/>
      <c r="K84" s="32"/>
      <c r="L84" s="32"/>
    </row>
    <row r="85" spans="1:12" s="35" customFormat="1">
      <c r="A85" s="44"/>
      <c r="F85" s="32"/>
      <c r="G85" s="32"/>
      <c r="H85" s="32"/>
      <c r="I85" s="32"/>
      <c r="J85" s="32"/>
      <c r="K85" s="32"/>
      <c r="L85" s="32"/>
    </row>
    <row r="86" spans="1:12" s="35" customFormat="1">
      <c r="A86" s="44"/>
      <c r="F86" s="32"/>
      <c r="G86" s="32"/>
      <c r="H86" s="32"/>
      <c r="I86" s="32"/>
      <c r="J86" s="32"/>
      <c r="K86" s="32"/>
      <c r="L86" s="32"/>
    </row>
    <row r="87" spans="1:12" s="35" customFormat="1">
      <c r="A87" s="44"/>
      <c r="F87" s="32"/>
      <c r="G87" s="32"/>
      <c r="H87" s="32"/>
      <c r="I87" s="32"/>
      <c r="J87" s="32"/>
      <c r="K87" s="32"/>
      <c r="L87" s="32"/>
    </row>
    <row r="88" spans="1:12" s="35" customFormat="1">
      <c r="A88" s="44"/>
      <c r="F88" s="32"/>
      <c r="G88" s="32"/>
      <c r="H88" s="32"/>
      <c r="I88" s="32"/>
      <c r="J88" s="32"/>
      <c r="K88" s="32"/>
      <c r="L88" s="32"/>
    </row>
    <row r="89" spans="1:12" s="35" customFormat="1">
      <c r="A89" s="44"/>
      <c r="F89" s="32"/>
      <c r="G89" s="32"/>
      <c r="H89" s="32"/>
      <c r="I89" s="32"/>
      <c r="J89" s="32"/>
      <c r="K89" s="32"/>
      <c r="L89" s="32"/>
    </row>
    <row r="90" spans="1:12" s="35" customFormat="1">
      <c r="A90" s="44"/>
      <c r="F90" s="32"/>
      <c r="G90" s="32"/>
      <c r="H90" s="32"/>
      <c r="I90" s="32"/>
      <c r="J90" s="32"/>
      <c r="K90" s="32"/>
      <c r="L90" s="32"/>
    </row>
    <row r="91" spans="1:12" s="35" customFormat="1">
      <c r="A91" s="44"/>
      <c r="F91" s="32"/>
      <c r="G91" s="32"/>
      <c r="H91" s="32"/>
      <c r="I91" s="32"/>
      <c r="J91" s="32"/>
      <c r="K91" s="32"/>
      <c r="L91" s="32"/>
    </row>
    <row r="92" spans="1:12" s="35" customFormat="1">
      <c r="A92" s="44"/>
      <c r="F92" s="32"/>
      <c r="G92" s="32"/>
      <c r="H92" s="32"/>
      <c r="I92" s="32"/>
      <c r="J92" s="32"/>
      <c r="K92" s="32"/>
      <c r="L92" s="32"/>
    </row>
    <row r="93" spans="1:12" s="35" customFormat="1">
      <c r="A93" s="44"/>
      <c r="F93" s="32"/>
      <c r="G93" s="32"/>
      <c r="H93" s="32"/>
      <c r="I93" s="32"/>
      <c r="J93" s="32"/>
      <c r="K93" s="32"/>
      <c r="L93" s="32"/>
    </row>
    <row r="94" spans="1:12" s="35" customFormat="1">
      <c r="A94" s="44"/>
      <c r="F94" s="32"/>
      <c r="G94" s="32"/>
      <c r="H94" s="32"/>
      <c r="I94" s="32"/>
      <c r="J94" s="32"/>
      <c r="K94" s="32"/>
      <c r="L94" s="32"/>
    </row>
    <row r="95" spans="1:12" s="35" customFormat="1">
      <c r="A95" s="44"/>
      <c r="F95" s="32"/>
      <c r="G95" s="32"/>
      <c r="H95" s="32"/>
      <c r="I95" s="32"/>
      <c r="J95" s="32"/>
      <c r="K95" s="32"/>
      <c r="L95" s="32"/>
    </row>
    <row r="96" spans="1:12" s="35" customFormat="1">
      <c r="A96" s="44"/>
      <c r="F96" s="32"/>
      <c r="G96" s="32"/>
      <c r="H96" s="32"/>
      <c r="I96" s="32"/>
      <c r="J96" s="32"/>
      <c r="K96" s="32"/>
      <c r="L96" s="32"/>
    </row>
    <row r="97" spans="1:12" s="35" customFormat="1">
      <c r="A97" s="44"/>
      <c r="F97" s="32"/>
      <c r="G97" s="32"/>
      <c r="H97" s="32"/>
      <c r="I97" s="32"/>
      <c r="J97" s="32"/>
      <c r="K97" s="32"/>
      <c r="L97" s="32"/>
    </row>
    <row r="98" spans="1:12" s="35" customFormat="1">
      <c r="A98" s="44"/>
      <c r="F98" s="32"/>
      <c r="G98" s="32"/>
      <c r="H98" s="32"/>
      <c r="I98" s="32"/>
      <c r="J98" s="32"/>
      <c r="K98" s="32"/>
      <c r="L98" s="32"/>
    </row>
    <row r="99" spans="1:12" s="35" customFormat="1">
      <c r="A99" s="44"/>
      <c r="F99" s="32"/>
      <c r="G99" s="32"/>
      <c r="H99" s="32"/>
      <c r="I99" s="32"/>
      <c r="J99" s="32"/>
      <c r="K99" s="32"/>
      <c r="L99" s="32"/>
    </row>
    <row r="100" spans="1:12" s="35" customFormat="1">
      <c r="A100" s="44"/>
      <c r="F100" s="32"/>
      <c r="G100" s="32"/>
      <c r="H100" s="32"/>
      <c r="I100" s="32"/>
      <c r="J100" s="32"/>
      <c r="K100" s="32"/>
      <c r="L100" s="32"/>
    </row>
    <row r="101" spans="1:12" s="35" customFormat="1">
      <c r="A101" s="44"/>
      <c r="F101" s="32"/>
      <c r="G101" s="32"/>
      <c r="H101" s="32"/>
      <c r="I101" s="32"/>
      <c r="J101" s="32"/>
      <c r="K101" s="32"/>
      <c r="L101" s="32"/>
    </row>
    <row r="102" spans="1:12" s="35" customFormat="1">
      <c r="A102" s="44"/>
      <c r="F102" s="32"/>
      <c r="G102" s="32"/>
      <c r="H102" s="32"/>
      <c r="I102" s="32"/>
      <c r="J102" s="32"/>
      <c r="K102" s="32"/>
      <c r="L102" s="32"/>
    </row>
    <row r="103" spans="1:12" s="35" customFormat="1">
      <c r="A103" s="44"/>
      <c r="F103" s="32"/>
      <c r="G103" s="32"/>
      <c r="H103" s="32"/>
      <c r="I103" s="32"/>
      <c r="J103" s="32"/>
      <c r="K103" s="32"/>
      <c r="L103" s="32"/>
    </row>
    <row r="104" spans="1:12" s="35" customFormat="1">
      <c r="A104" s="44"/>
      <c r="F104" s="32"/>
      <c r="G104" s="32"/>
      <c r="H104" s="32"/>
      <c r="I104" s="32"/>
      <c r="J104" s="32"/>
      <c r="K104" s="32"/>
      <c r="L104" s="32"/>
    </row>
    <row r="105" spans="1:12" s="35" customFormat="1">
      <c r="A105" s="44"/>
      <c r="F105" s="32"/>
      <c r="G105" s="32"/>
      <c r="H105" s="32"/>
      <c r="I105" s="32"/>
      <c r="J105" s="32"/>
      <c r="K105" s="32"/>
      <c r="L105" s="32"/>
    </row>
    <row r="106" spans="1:12" s="35" customFormat="1">
      <c r="A106" s="44"/>
      <c r="F106" s="32"/>
      <c r="G106" s="32"/>
      <c r="H106" s="32"/>
      <c r="I106" s="32"/>
      <c r="J106" s="32"/>
      <c r="K106" s="32"/>
      <c r="L106" s="32"/>
    </row>
    <row r="107" spans="1:12" s="35" customFormat="1">
      <c r="A107" s="44"/>
      <c r="F107" s="32"/>
      <c r="G107" s="32"/>
      <c r="H107" s="32"/>
      <c r="I107" s="32"/>
      <c r="J107" s="32"/>
      <c r="K107" s="32"/>
      <c r="L107" s="32"/>
    </row>
    <row r="108" spans="1:12" s="35" customFormat="1">
      <c r="A108" s="44"/>
      <c r="F108" s="32"/>
      <c r="G108" s="32"/>
      <c r="H108" s="32"/>
      <c r="I108" s="32"/>
      <c r="J108" s="32"/>
      <c r="K108" s="32"/>
      <c r="L108" s="32"/>
    </row>
    <row r="109" spans="1:12" s="35" customFormat="1">
      <c r="A109" s="44"/>
      <c r="F109" s="32"/>
      <c r="G109" s="32"/>
      <c r="H109" s="32"/>
      <c r="I109" s="32"/>
      <c r="J109" s="32"/>
      <c r="K109" s="32"/>
      <c r="L109" s="32"/>
    </row>
    <row r="110" spans="1:12" s="35" customFormat="1">
      <c r="A110" s="44"/>
      <c r="F110" s="32"/>
      <c r="G110" s="32"/>
      <c r="H110" s="32"/>
      <c r="I110" s="32"/>
      <c r="J110" s="32"/>
      <c r="K110" s="32"/>
      <c r="L110" s="32"/>
    </row>
    <row r="111" spans="1:12" s="35" customFormat="1">
      <c r="A111" s="44"/>
      <c r="F111" s="32"/>
      <c r="G111" s="32"/>
      <c r="H111" s="32"/>
      <c r="I111" s="32"/>
      <c r="J111" s="32"/>
      <c r="K111" s="32"/>
      <c r="L111" s="32"/>
    </row>
    <row r="112" spans="1:12" s="35" customFormat="1">
      <c r="A112" s="44"/>
      <c r="F112" s="32"/>
      <c r="G112" s="32"/>
      <c r="H112" s="32"/>
      <c r="I112" s="32"/>
      <c r="J112" s="32"/>
      <c r="K112" s="32"/>
      <c r="L112" s="32"/>
    </row>
    <row r="113" spans="1:12" s="35" customFormat="1">
      <c r="A113" s="44"/>
      <c r="F113" s="32"/>
      <c r="G113" s="32"/>
      <c r="H113" s="32"/>
      <c r="I113" s="32"/>
      <c r="J113" s="32"/>
      <c r="K113" s="32"/>
      <c r="L113" s="32"/>
    </row>
    <row r="114" spans="1:12" s="35" customFormat="1">
      <c r="A114" s="44"/>
      <c r="F114" s="32"/>
      <c r="G114" s="32"/>
      <c r="H114" s="32"/>
      <c r="I114" s="32"/>
      <c r="J114" s="32"/>
      <c r="K114" s="32"/>
      <c r="L114" s="32"/>
    </row>
    <row r="115" spans="1:12" s="35" customFormat="1">
      <c r="A115" s="44"/>
      <c r="F115" s="32"/>
      <c r="G115" s="32"/>
      <c r="H115" s="32"/>
      <c r="I115" s="32"/>
      <c r="J115" s="32"/>
      <c r="K115" s="32"/>
      <c r="L115" s="32"/>
    </row>
    <row r="116" spans="1:12" s="35" customFormat="1">
      <c r="A116" s="44"/>
      <c r="F116" s="32"/>
      <c r="G116" s="32"/>
      <c r="H116" s="32"/>
      <c r="I116" s="32"/>
      <c r="J116" s="32"/>
      <c r="K116" s="32"/>
      <c r="L116" s="32"/>
    </row>
    <row r="117" spans="1:12" s="35" customFormat="1">
      <c r="A117" s="44"/>
      <c r="F117" s="32"/>
      <c r="G117" s="32"/>
      <c r="H117" s="32"/>
      <c r="I117" s="32"/>
      <c r="J117" s="32"/>
      <c r="K117" s="32"/>
      <c r="L117" s="32"/>
    </row>
    <row r="118" spans="1:12" s="35" customFormat="1">
      <c r="A118" s="44"/>
      <c r="F118" s="32"/>
      <c r="G118" s="32"/>
      <c r="H118" s="32"/>
      <c r="I118" s="32"/>
      <c r="J118" s="32"/>
      <c r="K118" s="32"/>
      <c r="L118" s="32"/>
    </row>
    <row r="119" spans="1:12" s="35" customFormat="1">
      <c r="A119" s="44"/>
      <c r="F119" s="32"/>
      <c r="G119" s="32"/>
      <c r="H119" s="32"/>
      <c r="I119" s="32"/>
      <c r="J119" s="32"/>
      <c r="K119" s="32"/>
      <c r="L119" s="32"/>
    </row>
    <row r="120" spans="1:12" s="35" customFormat="1">
      <c r="A120" s="44"/>
      <c r="F120" s="32"/>
      <c r="G120" s="32"/>
      <c r="H120" s="32"/>
      <c r="I120" s="32"/>
      <c r="J120" s="32"/>
      <c r="K120" s="32"/>
      <c r="L120" s="32"/>
    </row>
    <row r="121" spans="1:12" s="35" customFormat="1">
      <c r="A121" s="44"/>
      <c r="F121" s="32"/>
      <c r="G121" s="32"/>
      <c r="H121" s="32"/>
      <c r="I121" s="32"/>
      <c r="J121" s="32"/>
      <c r="K121" s="32"/>
      <c r="L121" s="32"/>
    </row>
    <row r="122" spans="1:12" s="35" customFormat="1">
      <c r="A122" s="44"/>
      <c r="F122" s="32"/>
      <c r="G122" s="32"/>
      <c r="H122" s="32"/>
      <c r="I122" s="32"/>
      <c r="J122" s="32"/>
      <c r="K122" s="32"/>
      <c r="L122" s="32"/>
    </row>
    <row r="123" spans="1:12" s="35" customFormat="1">
      <c r="A123" s="44"/>
      <c r="F123" s="32"/>
      <c r="G123" s="32"/>
      <c r="H123" s="32"/>
      <c r="I123" s="32"/>
      <c r="J123" s="32"/>
      <c r="K123" s="32"/>
      <c r="L123" s="32"/>
    </row>
    <row r="124" spans="1:12" s="35" customFormat="1">
      <c r="A124" s="44"/>
      <c r="F124" s="32"/>
      <c r="G124" s="32"/>
      <c r="H124" s="32"/>
      <c r="I124" s="32"/>
      <c r="J124" s="32"/>
      <c r="K124" s="32"/>
      <c r="L124" s="32"/>
    </row>
    <row r="125" spans="1:12" s="35" customFormat="1">
      <c r="A125" s="44"/>
      <c r="F125" s="32"/>
      <c r="G125" s="32"/>
      <c r="H125" s="32"/>
      <c r="I125" s="32"/>
      <c r="J125" s="32"/>
      <c r="K125" s="32"/>
      <c r="L125" s="32"/>
    </row>
    <row r="126" spans="1:12" s="35" customFormat="1">
      <c r="A126" s="44"/>
      <c r="F126" s="32"/>
      <c r="G126" s="32"/>
      <c r="H126" s="32"/>
      <c r="I126" s="32"/>
      <c r="J126" s="32"/>
      <c r="K126" s="32"/>
      <c r="L126" s="32"/>
    </row>
    <row r="127" spans="1:12" s="35" customFormat="1">
      <c r="A127" s="44"/>
      <c r="F127" s="32"/>
      <c r="G127" s="32"/>
      <c r="H127" s="32"/>
      <c r="I127" s="32"/>
      <c r="J127" s="32"/>
      <c r="K127" s="32"/>
      <c r="L127" s="32"/>
    </row>
    <row r="128" spans="1:12" s="35" customFormat="1">
      <c r="A128" s="44"/>
      <c r="F128" s="32"/>
      <c r="G128" s="32"/>
      <c r="H128" s="32"/>
      <c r="I128" s="32"/>
      <c r="J128" s="32"/>
      <c r="K128" s="32"/>
      <c r="L128" s="32"/>
    </row>
    <row r="129" spans="1:12" s="35" customFormat="1">
      <c r="A129" s="44"/>
      <c r="F129" s="32"/>
      <c r="G129" s="32"/>
      <c r="H129" s="32"/>
      <c r="I129" s="32"/>
      <c r="J129" s="32"/>
      <c r="K129" s="32"/>
      <c r="L129" s="32"/>
    </row>
    <row r="130" spans="1:12" s="35" customFormat="1">
      <c r="A130" s="44"/>
      <c r="F130" s="32"/>
      <c r="G130" s="32"/>
      <c r="H130" s="32"/>
      <c r="I130" s="32"/>
      <c r="J130" s="32"/>
      <c r="K130" s="32"/>
      <c r="L130" s="32"/>
    </row>
    <row r="131" spans="1:12" s="35" customFormat="1">
      <c r="A131" s="44"/>
      <c r="F131" s="32"/>
      <c r="G131" s="32"/>
      <c r="H131" s="32"/>
      <c r="I131" s="32"/>
      <c r="J131" s="32"/>
      <c r="K131" s="32"/>
      <c r="L131" s="32"/>
    </row>
    <row r="132" spans="1:12" s="35" customFormat="1">
      <c r="A132" s="44"/>
      <c r="F132" s="32"/>
      <c r="G132" s="32"/>
      <c r="H132" s="32"/>
      <c r="I132" s="32"/>
      <c r="J132" s="32"/>
      <c r="K132" s="32"/>
      <c r="L132" s="32"/>
    </row>
    <row r="133" spans="1:12" s="35" customFormat="1">
      <c r="A133" s="44"/>
      <c r="F133" s="32"/>
      <c r="G133" s="32"/>
      <c r="H133" s="32"/>
      <c r="I133" s="32"/>
      <c r="J133" s="32"/>
      <c r="K133" s="32"/>
      <c r="L133" s="32"/>
    </row>
    <row r="134" spans="1:12" s="35" customFormat="1">
      <c r="A134" s="44"/>
      <c r="F134" s="32"/>
      <c r="G134" s="32"/>
      <c r="H134" s="32"/>
      <c r="I134" s="32"/>
      <c r="J134" s="32"/>
      <c r="K134" s="32"/>
      <c r="L134" s="32"/>
    </row>
    <row r="135" spans="1:12" s="35" customFormat="1">
      <c r="A135" s="44"/>
      <c r="F135" s="32"/>
      <c r="G135" s="32"/>
      <c r="H135" s="32"/>
      <c r="I135" s="32"/>
      <c r="J135" s="32"/>
      <c r="K135" s="32"/>
      <c r="L135" s="32"/>
    </row>
    <row r="136" spans="1:12" s="35" customFormat="1">
      <c r="A136" s="44"/>
      <c r="F136" s="32"/>
      <c r="G136" s="32"/>
      <c r="H136" s="32"/>
      <c r="I136" s="32"/>
      <c r="J136" s="32"/>
      <c r="K136" s="32"/>
      <c r="L136" s="32"/>
    </row>
    <row r="137" spans="1:12" s="35" customFormat="1">
      <c r="A137" s="44"/>
      <c r="F137" s="32"/>
      <c r="G137" s="32"/>
      <c r="H137" s="32"/>
      <c r="I137" s="32"/>
      <c r="J137" s="32"/>
      <c r="K137" s="32"/>
      <c r="L137" s="32"/>
    </row>
    <row r="138" spans="1:12" s="35" customFormat="1">
      <c r="A138" s="44"/>
      <c r="F138" s="32"/>
      <c r="G138" s="32"/>
      <c r="H138" s="32"/>
      <c r="I138" s="32"/>
      <c r="J138" s="32"/>
      <c r="K138" s="32"/>
      <c r="L138" s="32"/>
    </row>
    <row r="139" spans="1:12" s="35" customFormat="1">
      <c r="A139" s="44"/>
      <c r="F139" s="32"/>
      <c r="G139" s="32"/>
      <c r="H139" s="32"/>
      <c r="I139" s="32"/>
      <c r="J139" s="32"/>
      <c r="K139" s="32"/>
      <c r="L139" s="32"/>
    </row>
    <row r="140" spans="1:12" s="35" customFormat="1">
      <c r="A140" s="44"/>
      <c r="F140" s="32"/>
      <c r="G140" s="32"/>
      <c r="H140" s="32"/>
      <c r="I140" s="32"/>
      <c r="J140" s="32"/>
      <c r="K140" s="32"/>
      <c r="L140" s="32"/>
    </row>
    <row r="141" spans="1:12" s="35" customFormat="1">
      <c r="A141" s="44"/>
      <c r="F141" s="32"/>
      <c r="G141" s="32"/>
      <c r="H141" s="32"/>
      <c r="I141" s="32"/>
      <c r="J141" s="32"/>
      <c r="K141" s="32"/>
      <c r="L141" s="32"/>
    </row>
    <row r="142" spans="1:12" s="35" customFormat="1">
      <c r="A142" s="44"/>
      <c r="F142" s="32"/>
      <c r="G142" s="32"/>
      <c r="H142" s="32"/>
      <c r="I142" s="32"/>
      <c r="J142" s="32"/>
      <c r="K142" s="32"/>
      <c r="L142" s="32"/>
    </row>
    <row r="143" spans="1:12" s="35" customFormat="1">
      <c r="A143" s="44"/>
      <c r="F143" s="32"/>
      <c r="G143" s="32"/>
      <c r="H143" s="32"/>
      <c r="I143" s="32"/>
      <c r="J143" s="32"/>
      <c r="K143" s="32"/>
      <c r="L143" s="32"/>
    </row>
    <row r="144" spans="1:12" s="35" customFormat="1">
      <c r="A144" s="44"/>
      <c r="F144" s="32"/>
      <c r="G144" s="32"/>
      <c r="H144" s="32"/>
      <c r="I144" s="32"/>
      <c r="J144" s="32"/>
      <c r="K144" s="32"/>
      <c r="L144" s="32"/>
    </row>
    <row r="145" spans="1:12" s="35" customFormat="1">
      <c r="A145" s="44"/>
      <c r="F145" s="32"/>
      <c r="G145" s="32"/>
      <c r="H145" s="32"/>
      <c r="I145" s="32"/>
      <c r="J145" s="32"/>
      <c r="K145" s="32"/>
      <c r="L145" s="32"/>
    </row>
    <row r="146" spans="1:12" s="35" customFormat="1">
      <c r="A146" s="44"/>
      <c r="F146" s="32"/>
      <c r="G146" s="32"/>
      <c r="H146" s="32"/>
      <c r="I146" s="32"/>
      <c r="J146" s="32"/>
      <c r="K146" s="32"/>
      <c r="L146" s="32"/>
    </row>
    <row r="147" spans="1:12" s="35" customFormat="1">
      <c r="A147" s="44"/>
      <c r="F147" s="32"/>
      <c r="G147" s="32"/>
      <c r="H147" s="32"/>
      <c r="I147" s="32"/>
      <c r="J147" s="32"/>
      <c r="K147" s="32"/>
      <c r="L147" s="32"/>
    </row>
    <row r="148" spans="1:12" s="35" customFormat="1">
      <c r="A148" s="44"/>
      <c r="F148" s="32"/>
      <c r="G148" s="32"/>
      <c r="H148" s="32"/>
      <c r="I148" s="32"/>
      <c r="J148" s="32"/>
      <c r="K148" s="32"/>
      <c r="L148" s="32"/>
    </row>
    <row r="149" spans="1:12" s="35" customFormat="1">
      <c r="A149" s="44"/>
      <c r="F149" s="32"/>
      <c r="G149" s="32"/>
      <c r="H149" s="32"/>
      <c r="I149" s="32"/>
      <c r="J149" s="32"/>
      <c r="K149" s="32"/>
      <c r="L149" s="32"/>
    </row>
    <row r="150" spans="1:12" s="35" customFormat="1">
      <c r="A150" s="44"/>
      <c r="F150" s="32"/>
      <c r="G150" s="32"/>
      <c r="H150" s="32"/>
      <c r="I150" s="32"/>
      <c r="J150" s="32"/>
      <c r="K150" s="32"/>
      <c r="L150" s="32"/>
    </row>
    <row r="151" spans="1:12" s="35" customFormat="1">
      <c r="A151" s="44"/>
      <c r="F151" s="32"/>
      <c r="G151" s="32"/>
      <c r="H151" s="32"/>
      <c r="I151" s="32"/>
      <c r="J151" s="32"/>
      <c r="K151" s="32"/>
      <c r="L151" s="32"/>
    </row>
    <row r="152" spans="1:12" s="35" customFormat="1">
      <c r="A152" s="44"/>
      <c r="F152" s="32"/>
      <c r="G152" s="32"/>
      <c r="H152" s="32"/>
      <c r="I152" s="32"/>
      <c r="J152" s="32"/>
      <c r="K152" s="32"/>
      <c r="L152" s="32"/>
    </row>
    <row r="153" spans="1:12" s="35" customFormat="1">
      <c r="A153" s="44"/>
      <c r="F153" s="32"/>
      <c r="G153" s="32"/>
      <c r="H153" s="32"/>
      <c r="I153" s="32"/>
      <c r="J153" s="32"/>
      <c r="K153" s="32"/>
      <c r="L153" s="32"/>
    </row>
    <row r="154" spans="1:12" s="35" customFormat="1">
      <c r="A154" s="44"/>
      <c r="F154" s="32"/>
      <c r="G154" s="32"/>
      <c r="H154" s="32"/>
      <c r="I154" s="32"/>
      <c r="J154" s="32"/>
      <c r="K154" s="32"/>
      <c r="L154" s="32"/>
    </row>
    <row r="155" spans="1:12" s="35" customFormat="1">
      <c r="A155" s="44"/>
      <c r="F155" s="32"/>
      <c r="G155" s="32"/>
      <c r="H155" s="32"/>
      <c r="I155" s="32"/>
      <c r="J155" s="32"/>
      <c r="K155" s="32"/>
      <c r="L155" s="32"/>
    </row>
    <row r="156" spans="1:12" s="35" customFormat="1">
      <c r="A156" s="44"/>
      <c r="F156" s="32"/>
      <c r="G156" s="32"/>
      <c r="H156" s="32"/>
      <c r="I156" s="32"/>
      <c r="J156" s="32"/>
      <c r="K156" s="32"/>
      <c r="L156" s="32"/>
    </row>
    <row r="157" spans="1:12" s="35" customFormat="1">
      <c r="A157" s="44"/>
      <c r="F157" s="32"/>
      <c r="G157" s="32"/>
      <c r="H157" s="32"/>
      <c r="I157" s="32"/>
      <c r="J157" s="32"/>
      <c r="K157" s="32"/>
      <c r="L157" s="32"/>
    </row>
    <row r="158" spans="1:12" s="35" customFormat="1">
      <c r="A158" s="44"/>
      <c r="F158" s="32"/>
      <c r="G158" s="32"/>
      <c r="H158" s="32"/>
      <c r="I158" s="32"/>
      <c r="J158" s="32"/>
      <c r="K158" s="32"/>
      <c r="L158" s="32"/>
    </row>
    <row r="159" spans="1:12" s="35" customFormat="1">
      <c r="A159" s="44"/>
      <c r="F159" s="32"/>
      <c r="G159" s="32"/>
      <c r="H159" s="32"/>
      <c r="I159" s="32"/>
      <c r="J159" s="32"/>
      <c r="K159" s="32"/>
      <c r="L159" s="32"/>
    </row>
    <row r="160" spans="1:12" s="35" customFormat="1">
      <c r="A160" s="44"/>
      <c r="F160" s="32"/>
      <c r="G160" s="32"/>
      <c r="H160" s="32"/>
      <c r="I160" s="32"/>
      <c r="J160" s="32"/>
      <c r="K160" s="32"/>
      <c r="L160" s="32"/>
    </row>
    <row r="161" spans="1:12" s="35" customFormat="1">
      <c r="A161" s="44"/>
      <c r="F161" s="32"/>
      <c r="G161" s="32"/>
      <c r="H161" s="32"/>
      <c r="I161" s="32"/>
      <c r="J161" s="32"/>
      <c r="K161" s="32"/>
      <c r="L161" s="32"/>
    </row>
    <row r="162" spans="1:12" s="35" customFormat="1">
      <c r="A162" s="44"/>
      <c r="F162" s="32"/>
      <c r="G162" s="32"/>
      <c r="H162" s="32"/>
      <c r="I162" s="32"/>
      <c r="J162" s="32"/>
      <c r="K162" s="32"/>
      <c r="L162" s="32"/>
    </row>
    <row r="163" spans="1:12" s="35" customFormat="1">
      <c r="A163" s="44"/>
      <c r="F163" s="32"/>
      <c r="G163" s="32"/>
      <c r="H163" s="32"/>
      <c r="I163" s="32"/>
      <c r="J163" s="32"/>
      <c r="K163" s="32"/>
      <c r="L163" s="32"/>
    </row>
    <row r="164" spans="1:12" s="35" customFormat="1">
      <c r="A164" s="44"/>
      <c r="F164" s="32"/>
      <c r="G164" s="32"/>
      <c r="H164" s="32"/>
      <c r="I164" s="32"/>
      <c r="J164" s="32"/>
      <c r="K164" s="32"/>
      <c r="L164" s="32"/>
    </row>
    <row r="165" spans="1:12" s="35" customFormat="1">
      <c r="A165" s="44"/>
      <c r="F165" s="32"/>
      <c r="G165" s="32"/>
      <c r="H165" s="32"/>
      <c r="I165" s="32"/>
      <c r="J165" s="32"/>
      <c r="K165" s="32"/>
      <c r="L165" s="32"/>
    </row>
    <row r="166" spans="1:12" s="35" customFormat="1">
      <c r="A166" s="44"/>
      <c r="F166" s="32"/>
      <c r="G166" s="32"/>
      <c r="H166" s="32"/>
      <c r="I166" s="32"/>
      <c r="J166" s="32"/>
      <c r="K166" s="32"/>
      <c r="L166" s="32"/>
    </row>
    <row r="167" spans="1:12" s="35" customFormat="1">
      <c r="A167" s="44"/>
      <c r="F167" s="32"/>
      <c r="G167" s="32"/>
      <c r="H167" s="32"/>
      <c r="I167" s="32"/>
      <c r="J167" s="32"/>
      <c r="K167" s="32"/>
      <c r="L167" s="32"/>
    </row>
    <row r="168" spans="1:12" s="35" customFormat="1">
      <c r="A168" s="44"/>
      <c r="F168" s="32"/>
      <c r="G168" s="32"/>
      <c r="H168" s="32"/>
      <c r="I168" s="32"/>
      <c r="J168" s="32"/>
      <c r="K168" s="32"/>
      <c r="L168" s="32"/>
    </row>
    <row r="169" spans="1:12" s="35" customFormat="1">
      <c r="A169" s="44"/>
      <c r="F169" s="32"/>
      <c r="G169" s="32"/>
      <c r="H169" s="32"/>
      <c r="I169" s="32"/>
      <c r="J169" s="32"/>
      <c r="K169" s="32"/>
      <c r="L169" s="32"/>
    </row>
    <row r="170" spans="1:12" s="35" customFormat="1">
      <c r="A170" s="44"/>
      <c r="F170" s="32"/>
      <c r="G170" s="32"/>
      <c r="H170" s="32"/>
      <c r="I170" s="32"/>
      <c r="J170" s="32"/>
      <c r="K170" s="32"/>
      <c r="L170" s="32"/>
    </row>
    <row r="171" spans="1:12" s="35" customFormat="1">
      <c r="A171" s="44"/>
      <c r="F171" s="32"/>
      <c r="G171" s="32"/>
      <c r="H171" s="32"/>
      <c r="I171" s="32"/>
      <c r="J171" s="32"/>
      <c r="K171" s="32"/>
      <c r="L171" s="32"/>
    </row>
    <row r="172" spans="1:12" s="35" customFormat="1">
      <c r="A172" s="44"/>
      <c r="F172" s="32"/>
      <c r="G172" s="32"/>
      <c r="H172" s="32"/>
      <c r="I172" s="32"/>
      <c r="J172" s="32"/>
      <c r="K172" s="32"/>
      <c r="L172" s="32"/>
    </row>
    <row r="173" spans="1:12" s="35" customFormat="1">
      <c r="A173" s="44"/>
      <c r="F173" s="32"/>
      <c r="G173" s="32"/>
      <c r="H173" s="32"/>
      <c r="I173" s="32"/>
      <c r="J173" s="32"/>
      <c r="K173" s="32"/>
      <c r="L173" s="32"/>
    </row>
    <row r="174" spans="1:12" s="35" customFormat="1">
      <c r="A174" s="44"/>
      <c r="F174" s="32"/>
      <c r="G174" s="32"/>
      <c r="H174" s="32"/>
      <c r="I174" s="32"/>
      <c r="J174" s="32"/>
      <c r="K174" s="32"/>
      <c r="L174" s="32"/>
    </row>
    <row r="175" spans="1:12" s="35" customFormat="1">
      <c r="A175" s="44"/>
      <c r="F175" s="32"/>
      <c r="G175" s="32"/>
      <c r="H175" s="32"/>
      <c r="I175" s="32"/>
      <c r="J175" s="32"/>
      <c r="K175" s="32"/>
      <c r="L175" s="32"/>
    </row>
    <row r="176" spans="1:12" s="35" customFormat="1">
      <c r="A176" s="44"/>
      <c r="F176" s="32"/>
      <c r="G176" s="32"/>
      <c r="H176" s="32"/>
      <c r="I176" s="32"/>
      <c r="J176" s="32"/>
      <c r="K176" s="32"/>
      <c r="L176" s="32"/>
    </row>
    <row r="177" spans="1:12" s="35" customFormat="1">
      <c r="A177" s="44"/>
      <c r="F177" s="32"/>
      <c r="G177" s="32"/>
      <c r="H177" s="32"/>
      <c r="I177" s="32"/>
      <c r="J177" s="32"/>
      <c r="K177" s="32"/>
      <c r="L177" s="32"/>
    </row>
    <row r="178" spans="1:12" s="35" customFormat="1">
      <c r="A178" s="44"/>
      <c r="F178" s="32"/>
      <c r="G178" s="32"/>
      <c r="H178" s="32"/>
      <c r="I178" s="32"/>
      <c r="J178" s="32"/>
      <c r="K178" s="32"/>
      <c r="L178" s="32"/>
    </row>
    <row r="179" spans="1:12" s="35" customFormat="1">
      <c r="A179" s="44"/>
      <c r="F179" s="32"/>
      <c r="G179" s="32"/>
      <c r="H179" s="32"/>
      <c r="I179" s="32"/>
      <c r="J179" s="32"/>
      <c r="K179" s="32"/>
      <c r="L179" s="32"/>
    </row>
    <row r="180" spans="1:12" s="35" customFormat="1">
      <c r="A180" s="44"/>
      <c r="F180" s="32"/>
      <c r="G180" s="32"/>
      <c r="H180" s="32"/>
      <c r="I180" s="32"/>
      <c r="J180" s="32"/>
      <c r="K180" s="32"/>
      <c r="L180" s="32"/>
    </row>
    <row r="181" spans="1:12" s="35" customFormat="1">
      <c r="A181" s="44"/>
      <c r="F181" s="32"/>
      <c r="G181" s="32"/>
      <c r="H181" s="32"/>
      <c r="I181" s="32"/>
      <c r="J181" s="32"/>
      <c r="K181" s="32"/>
      <c r="L181" s="32"/>
    </row>
    <row r="182" spans="1:12" s="35" customFormat="1">
      <c r="A182" s="44"/>
      <c r="F182" s="32"/>
      <c r="G182" s="32"/>
      <c r="H182" s="32"/>
      <c r="I182" s="32"/>
      <c r="J182" s="32"/>
      <c r="K182" s="32"/>
      <c r="L182" s="32"/>
    </row>
    <row r="183" spans="1:12" s="35" customFormat="1">
      <c r="A183" s="44"/>
      <c r="F183" s="32"/>
      <c r="G183" s="32"/>
      <c r="H183" s="32"/>
      <c r="I183" s="32"/>
      <c r="J183" s="32"/>
      <c r="K183" s="32"/>
      <c r="L183" s="32"/>
    </row>
    <row r="184" spans="1:12" s="35" customFormat="1">
      <c r="A184" s="44"/>
      <c r="F184" s="32"/>
      <c r="G184" s="32"/>
      <c r="H184" s="32"/>
      <c r="I184" s="32"/>
      <c r="J184" s="32"/>
      <c r="K184" s="32"/>
      <c r="L184" s="32"/>
    </row>
    <row r="185" spans="1:12" s="35" customFormat="1">
      <c r="A185" s="44"/>
      <c r="F185" s="32"/>
      <c r="G185" s="32"/>
      <c r="H185" s="32"/>
      <c r="I185" s="32"/>
      <c r="J185" s="32"/>
      <c r="K185" s="32"/>
      <c r="L185" s="32"/>
    </row>
    <row r="186" spans="1:12" s="35" customFormat="1">
      <c r="A186" s="44"/>
      <c r="F186" s="32"/>
      <c r="G186" s="32"/>
      <c r="H186" s="32"/>
      <c r="I186" s="32"/>
      <c r="J186" s="32"/>
      <c r="K186" s="32"/>
      <c r="L186" s="32"/>
    </row>
    <row r="187" spans="1:12" s="35" customFormat="1">
      <c r="A187" s="44"/>
      <c r="F187" s="32"/>
      <c r="G187" s="32"/>
      <c r="H187" s="32"/>
      <c r="I187" s="32"/>
      <c r="J187" s="32"/>
      <c r="K187" s="32"/>
      <c r="L187" s="32"/>
    </row>
    <row r="188" spans="1:12" s="35" customFormat="1">
      <c r="A188" s="44"/>
      <c r="F188" s="32"/>
      <c r="G188" s="32"/>
      <c r="H188" s="32"/>
      <c r="I188" s="32"/>
      <c r="J188" s="32"/>
      <c r="K188" s="32"/>
      <c r="L188" s="32"/>
    </row>
    <row r="189" spans="1:12" s="35" customFormat="1">
      <c r="A189" s="44"/>
      <c r="F189" s="32"/>
      <c r="G189" s="32"/>
      <c r="H189" s="32"/>
      <c r="I189" s="32"/>
      <c r="J189" s="32"/>
      <c r="K189" s="32"/>
      <c r="L189" s="32"/>
    </row>
    <row r="190" spans="1:12" s="35" customFormat="1">
      <c r="A190" s="44"/>
      <c r="F190" s="32"/>
      <c r="G190" s="32"/>
      <c r="H190" s="32"/>
      <c r="I190" s="32"/>
      <c r="J190" s="32"/>
      <c r="K190" s="32"/>
      <c r="L190" s="32"/>
    </row>
    <row r="191" spans="1:12" s="35" customFormat="1">
      <c r="A191" s="44"/>
      <c r="F191" s="32"/>
      <c r="G191" s="32"/>
      <c r="H191" s="32"/>
      <c r="I191" s="32"/>
      <c r="J191" s="32"/>
      <c r="K191" s="32"/>
      <c r="L191" s="32"/>
    </row>
    <row r="192" spans="1:12" s="35" customFormat="1">
      <c r="A192" s="44"/>
      <c r="F192" s="32"/>
      <c r="G192" s="32"/>
      <c r="H192" s="32"/>
      <c r="I192" s="32"/>
      <c r="J192" s="32"/>
      <c r="K192" s="32"/>
      <c r="L192" s="32"/>
    </row>
    <row r="193" spans="1:12" s="35" customFormat="1">
      <c r="A193" s="44"/>
      <c r="F193" s="32"/>
      <c r="G193" s="32"/>
      <c r="H193" s="32"/>
      <c r="I193" s="32"/>
      <c r="J193" s="32"/>
      <c r="K193" s="32"/>
      <c r="L193" s="32"/>
    </row>
  </sheetData>
  <mergeCells count="14">
    <mergeCell ref="C43:F43"/>
    <mergeCell ref="H43:J43"/>
    <mergeCell ref="A7:J7"/>
    <mergeCell ref="A17:J17"/>
    <mergeCell ref="C42:F42"/>
    <mergeCell ref="H42:J42"/>
    <mergeCell ref="A2:J2"/>
    <mergeCell ref="A4:A5"/>
    <mergeCell ref="B4:B5"/>
    <mergeCell ref="C4:C5"/>
    <mergeCell ref="F4:F5"/>
    <mergeCell ref="G4:J4"/>
    <mergeCell ref="D4:D5"/>
    <mergeCell ref="E4:E5"/>
  </mergeCells>
  <phoneticPr fontId="3" type="noConversion"/>
  <pageMargins left="0.70866141732283472" right="0.19685039370078741" top="0.78740157480314965" bottom="0.78740157480314965" header="0.19685039370078741" footer="0.11811023622047245"/>
  <pageSetup paperSize="9" scale="50" fitToHeight="2" orientation="portrait" verticalDpi="300" r:id="rId1"/>
  <headerFooter alignWithMargins="0">
    <oddHeader>&amp;C&amp;"Times New Roman,обычный"&amp;14 7&amp;R&amp;"Times New Roman,обычный"&amp;14Продовження додатка 1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80"/>
  <sheetViews>
    <sheetView view="pageBreakPreview" zoomScale="60" zoomScaleNormal="57" workbookViewId="0">
      <selection activeCell="L17" sqref="L17"/>
    </sheetView>
  </sheetViews>
  <sheetFormatPr defaultRowHeight="18.75"/>
  <cols>
    <col min="1" max="1" width="44.28515625" style="2" customWidth="1"/>
    <col min="2" max="2" width="11.7109375" style="2" customWidth="1"/>
    <col min="3" max="5" width="12.7109375" style="2" customWidth="1"/>
    <col min="6" max="6" width="11.140625" style="2" customWidth="1"/>
    <col min="7" max="7" width="21.85546875" style="2" customWidth="1"/>
    <col min="9" max="9" width="12" customWidth="1"/>
    <col min="11" max="11" width="14.140625" bestFit="1" customWidth="1"/>
  </cols>
  <sheetData>
    <row r="1" spans="1:7">
      <c r="A1" s="550" t="s">
        <v>448</v>
      </c>
      <c r="B1" s="550"/>
      <c r="C1" s="550"/>
      <c r="D1" s="550"/>
      <c r="E1" s="550"/>
      <c r="F1" s="550"/>
      <c r="G1" s="550"/>
    </row>
    <row r="2" spans="1:7">
      <c r="A2" s="18"/>
      <c r="B2" s="18"/>
      <c r="C2" s="18"/>
      <c r="D2" s="18"/>
      <c r="E2" s="18"/>
      <c r="F2" s="18"/>
      <c r="G2" s="18"/>
    </row>
    <row r="3" spans="1:7">
      <c r="A3" s="613" t="s">
        <v>186</v>
      </c>
      <c r="B3" s="615" t="s">
        <v>0</v>
      </c>
      <c r="C3" s="548" t="s">
        <v>416</v>
      </c>
      <c r="D3" s="549"/>
      <c r="E3" s="549"/>
      <c r="F3" s="549"/>
      <c r="G3" s="617"/>
    </row>
    <row r="4" spans="1:7" ht="113.25" customHeight="1">
      <c r="A4" s="614"/>
      <c r="B4" s="616"/>
      <c r="C4" s="264" t="s">
        <v>414</v>
      </c>
      <c r="D4" s="264" t="s">
        <v>417</v>
      </c>
      <c r="E4" s="264" t="s">
        <v>418</v>
      </c>
      <c r="F4" s="264" t="s">
        <v>420</v>
      </c>
      <c r="G4" s="264" t="s">
        <v>421</v>
      </c>
    </row>
    <row r="5" spans="1:7">
      <c r="A5" s="237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</row>
    <row r="6" spans="1:7">
      <c r="A6" s="600" t="s">
        <v>121</v>
      </c>
      <c r="B6" s="600"/>
      <c r="C6" s="600"/>
      <c r="D6" s="600"/>
      <c r="E6" s="600"/>
      <c r="F6" s="600"/>
      <c r="G6" s="600"/>
    </row>
    <row r="7" spans="1:7" ht="56.25">
      <c r="A7" s="33" t="s">
        <v>177</v>
      </c>
      <c r="B7" s="324">
        <v>1200</v>
      </c>
      <c r="C7" s="245">
        <f>'3.1.Рух грошових коштів'!F8</f>
        <v>29.656574999999727</v>
      </c>
      <c r="D7" s="477">
        <f>'1.Фінансовий результат'!D96</f>
        <v>37.00901604800012</v>
      </c>
      <c r="E7" s="245">
        <f>D7-C7</f>
        <v>7.3524410480003937</v>
      </c>
      <c r="F7" s="56">
        <f>D7/C7*100</f>
        <v>124.79194258946107</v>
      </c>
      <c r="G7" s="56"/>
    </row>
    <row r="8" spans="1:7" ht="21.75" customHeight="1">
      <c r="A8" s="33" t="s">
        <v>134</v>
      </c>
      <c r="B8" s="325"/>
      <c r="C8" s="56"/>
      <c r="D8" s="427"/>
      <c r="E8" s="56"/>
      <c r="F8" s="56"/>
      <c r="G8" s="56"/>
    </row>
    <row r="9" spans="1:7" s="272" customFormat="1" ht="18.75" customHeight="1">
      <c r="A9" s="304" t="s">
        <v>136</v>
      </c>
      <c r="B9" s="335">
        <v>3000</v>
      </c>
      <c r="C9" s="289">
        <f>'3.1.Рух грошових коштів'!F10</f>
        <v>0</v>
      </c>
      <c r="D9" s="434"/>
      <c r="E9" s="289"/>
      <c r="F9" s="289"/>
      <c r="G9" s="289"/>
    </row>
    <row r="10" spans="1:7" s="272" customFormat="1" ht="26.25" customHeight="1">
      <c r="A10" s="304" t="s">
        <v>137</v>
      </c>
      <c r="B10" s="335">
        <v>3010</v>
      </c>
      <c r="C10" s="289">
        <f>'3.1.Рух грошових коштів'!F11</f>
        <v>0</v>
      </c>
      <c r="D10" s="434"/>
      <c r="E10" s="289"/>
      <c r="F10" s="289"/>
      <c r="G10" s="289"/>
    </row>
    <row r="11" spans="1:7" s="272" customFormat="1" ht="42.75" customHeight="1">
      <c r="A11" s="304" t="s">
        <v>138</v>
      </c>
      <c r="B11" s="335">
        <v>3020</v>
      </c>
      <c r="C11" s="289">
        <f>'3.1.Рух грошових коштів'!F12</f>
        <v>0</v>
      </c>
      <c r="D11" s="434"/>
      <c r="E11" s="289"/>
      <c r="F11" s="289"/>
      <c r="G11" s="289"/>
    </row>
    <row r="12" spans="1:7" s="272" customFormat="1" ht="75">
      <c r="A12" s="304" t="s">
        <v>139</v>
      </c>
      <c r="B12" s="335">
        <v>3030</v>
      </c>
      <c r="C12" s="289">
        <f>'3.1.Рух грошових коштів'!F13</f>
        <v>0</v>
      </c>
      <c r="D12" s="434"/>
      <c r="E12" s="289"/>
      <c r="F12" s="289"/>
      <c r="G12" s="289"/>
    </row>
    <row r="13" spans="1:7" ht="56.25">
      <c r="A13" s="234" t="s">
        <v>177</v>
      </c>
      <c r="B13" s="235">
        <v>3040</v>
      </c>
      <c r="C13" s="289">
        <f>'3.1.Рух грошових коштів'!F14</f>
        <v>0</v>
      </c>
      <c r="D13" s="427"/>
      <c r="E13" s="56"/>
      <c r="F13" s="56"/>
      <c r="G13" s="56"/>
    </row>
    <row r="14" spans="1:7" ht="40.5" customHeight="1">
      <c r="A14" s="33" t="s">
        <v>140</v>
      </c>
      <c r="B14" s="235">
        <v>3050</v>
      </c>
      <c r="C14" s="289">
        <f>'3.1.Рух грошових коштів'!F15</f>
        <v>0</v>
      </c>
      <c r="D14" s="427"/>
      <c r="E14" s="56"/>
      <c r="F14" s="56"/>
      <c r="G14" s="56"/>
    </row>
    <row r="15" spans="1:7" ht="44.25" customHeight="1">
      <c r="A15" s="33" t="s">
        <v>141</v>
      </c>
      <c r="B15" s="235">
        <v>3060</v>
      </c>
      <c r="C15" s="289">
        <f>'3.1.Рух грошових коштів'!F16</f>
        <v>0</v>
      </c>
      <c r="D15" s="427"/>
      <c r="E15" s="56"/>
      <c r="F15" s="56"/>
      <c r="G15" s="56"/>
    </row>
    <row r="16" spans="1:7" ht="39" customHeight="1">
      <c r="A16" s="234" t="s">
        <v>314</v>
      </c>
      <c r="B16" s="235">
        <v>3070</v>
      </c>
      <c r="C16" s="82">
        <f>C17</f>
        <v>18975.39</v>
      </c>
      <c r="D16" s="82">
        <f>D17</f>
        <v>19637</v>
      </c>
      <c r="E16" s="82">
        <f>D16-C16</f>
        <v>661.61000000000058</v>
      </c>
      <c r="F16" s="82">
        <f>D16/C16*100</f>
        <v>103.4866740551841</v>
      </c>
      <c r="G16" s="56"/>
    </row>
    <row r="17" spans="1:9">
      <c r="A17" s="114" t="s">
        <v>308</v>
      </c>
      <c r="B17" s="113" t="s">
        <v>316</v>
      </c>
      <c r="C17" s="245">
        <f>C18</f>
        <v>18975.39</v>
      </c>
      <c r="D17" s="477">
        <f>D18</f>
        <v>19637</v>
      </c>
      <c r="E17" s="245">
        <f t="shared" ref="E17:E27" si="0">D17-C17</f>
        <v>661.61000000000058</v>
      </c>
      <c r="F17" s="245">
        <f t="shared" ref="F17:F27" si="1">D17/C17*100</f>
        <v>103.4866740551841</v>
      </c>
      <c r="G17" s="56"/>
    </row>
    <row r="18" spans="1:9" ht="31.5">
      <c r="A18" s="147" t="s">
        <v>309</v>
      </c>
      <c r="B18" s="113" t="s">
        <v>319</v>
      </c>
      <c r="C18" s="503">
        <f>'1.Фінансовий результат'!C13</f>
        <v>18975.39</v>
      </c>
      <c r="D18" s="477">
        <f>'1.Фінансовий результат'!D13</f>
        <v>19637</v>
      </c>
      <c r="E18" s="245">
        <f t="shared" si="0"/>
        <v>661.61000000000058</v>
      </c>
      <c r="F18" s="245">
        <f t="shared" si="1"/>
        <v>103.4866740551841</v>
      </c>
      <c r="G18" s="56"/>
    </row>
    <row r="19" spans="1:9">
      <c r="A19" s="114" t="s">
        <v>310</v>
      </c>
      <c r="B19" s="227" t="s">
        <v>317</v>
      </c>
      <c r="C19" s="82">
        <f>SUM(C20:C25)</f>
        <v>18938.551249999997</v>
      </c>
      <c r="D19" s="82">
        <f>D20+D21+D22+D23+D24+D25</f>
        <v>19591.867053599999</v>
      </c>
      <c r="E19" s="82">
        <f t="shared" si="0"/>
        <v>653.31580360000225</v>
      </c>
      <c r="F19" s="82">
        <f t="shared" si="1"/>
        <v>103.44966093222152</v>
      </c>
      <c r="G19" s="56"/>
      <c r="I19" s="497">
        <f>'1.Фінансовий результат'!D108</f>
        <v>19591.867053599999</v>
      </c>
    </row>
    <row r="20" spans="1:9">
      <c r="A20" s="147" t="s">
        <v>311</v>
      </c>
      <c r="B20" s="113" t="s">
        <v>320</v>
      </c>
      <c r="C20" s="245">
        <f>'3.1.Рух грошових коштів'!F21</f>
        <v>4726.5116099999977</v>
      </c>
      <c r="D20" s="477">
        <v>5887.7</v>
      </c>
      <c r="E20" s="245">
        <f t="shared" si="0"/>
        <v>1161.1883900000021</v>
      </c>
      <c r="F20" s="245">
        <f t="shared" si="1"/>
        <v>124.56755607123119</v>
      </c>
      <c r="G20" s="56"/>
      <c r="I20" s="498">
        <f>D19-D21-D22-D23-D24</f>
        <v>5887.7000000000007</v>
      </c>
    </row>
    <row r="21" spans="1:9">
      <c r="A21" s="147" t="s">
        <v>312</v>
      </c>
      <c r="B21" s="113" t="s">
        <v>321</v>
      </c>
      <c r="C21" s="503">
        <f>'1.Фінансовий результат'!C104</f>
        <v>9987.0829999999987</v>
      </c>
      <c r="D21" s="477">
        <f>'1.Фінансовий результат'!D104</f>
        <v>9622.9598799999985</v>
      </c>
      <c r="E21" s="245">
        <f t="shared" si="0"/>
        <v>-364.1231200000002</v>
      </c>
      <c r="F21" s="245">
        <f t="shared" si="1"/>
        <v>96.35405933844747</v>
      </c>
      <c r="G21" s="56"/>
    </row>
    <row r="22" spans="1:9">
      <c r="A22" s="147" t="s">
        <v>3</v>
      </c>
      <c r="B22" s="113" t="s">
        <v>322</v>
      </c>
      <c r="C22" s="503">
        <f>'1.Фінансовий результат'!C105</f>
        <v>2163.6166400000002</v>
      </c>
      <c r="D22" s="477">
        <f>'1.Фінансовий результат'!D105</f>
        <v>2053.0071736</v>
      </c>
      <c r="E22" s="407">
        <f>'3.1.Рух грошових коштів'!I23</f>
        <v>577</v>
      </c>
      <c r="F22" s="407">
        <f>'3.1.Рух грошових коштів'!J23</f>
        <v>652.61663999999996</v>
      </c>
      <c r="G22" s="56"/>
    </row>
    <row r="23" spans="1:9">
      <c r="A23" s="147" t="s">
        <v>443</v>
      </c>
      <c r="B23" s="113" t="s">
        <v>323</v>
      </c>
      <c r="C23" s="503">
        <f>'2.Розрахунки з бюджетом'!C22</f>
        <v>2003.3400000000001</v>
      </c>
      <c r="D23" s="477">
        <f>'2.Розрахунки з бюджетом'!D22</f>
        <v>1963.2</v>
      </c>
      <c r="E23" s="407">
        <f>'3.1.Рух грошових коштів'!I24</f>
        <v>528.20000000000005</v>
      </c>
      <c r="F23" s="407">
        <f>'3.1.Рух грошових коштів'!J24</f>
        <v>535.29999999999995</v>
      </c>
      <c r="G23" s="56"/>
    </row>
    <row r="24" spans="1:9" ht="32.25" customHeight="1">
      <c r="A24" s="147" t="s">
        <v>444</v>
      </c>
      <c r="B24" s="113" t="s">
        <v>324</v>
      </c>
      <c r="C24" s="503">
        <f>'2.Розрахунки з бюджетом'!C20</f>
        <v>58</v>
      </c>
      <c r="D24" s="477">
        <f>'2.Розрахунки з бюджетом'!D20</f>
        <v>65</v>
      </c>
      <c r="E24" s="245">
        <f t="shared" si="0"/>
        <v>7</v>
      </c>
      <c r="F24" s="245">
        <f t="shared" si="1"/>
        <v>112.06896551724137</v>
      </c>
      <c r="G24" s="56"/>
    </row>
    <row r="25" spans="1:9">
      <c r="A25" s="147" t="s">
        <v>318</v>
      </c>
      <c r="B25" s="113" t="s">
        <v>325</v>
      </c>
      <c r="C25" s="411">
        <f>'3.1.Рух грошових коштів'!F26</f>
        <v>0</v>
      </c>
      <c r="D25" s="477"/>
      <c r="E25" s="245"/>
      <c r="F25" s="245"/>
      <c r="G25" s="56"/>
    </row>
    <row r="26" spans="1:9" ht="23.25" customHeight="1">
      <c r="A26" s="33" t="s">
        <v>135</v>
      </c>
      <c r="B26" s="235">
        <v>3080</v>
      </c>
      <c r="C26" s="411">
        <f>'3.1.Рух грошових коштів'!F27</f>
        <v>7.1821750000000719</v>
      </c>
      <c r="D26" s="503">
        <f>'1.Фінансовий результат'!D94</f>
        <v>8.123930352000027</v>
      </c>
      <c r="E26" s="245">
        <f t="shared" si="0"/>
        <v>0.94175535199995508</v>
      </c>
      <c r="F26" s="245">
        <f t="shared" si="1"/>
        <v>113.11239773466875</v>
      </c>
      <c r="G26" s="56"/>
    </row>
    <row r="27" spans="1:9" ht="39" customHeight="1">
      <c r="A27" s="230" t="s">
        <v>120</v>
      </c>
      <c r="B27" s="235">
        <v>3090</v>
      </c>
      <c r="C27" s="82">
        <f>C16-C19-C26</f>
        <v>29.656575000002547</v>
      </c>
      <c r="D27" s="82">
        <f>D16-D19-D26</f>
        <v>37.009016048000916</v>
      </c>
      <c r="E27" s="82">
        <f t="shared" si="0"/>
        <v>7.3524410479983686</v>
      </c>
      <c r="F27" s="82">
        <f t="shared" si="1"/>
        <v>124.79194258945188</v>
      </c>
      <c r="G27" s="56"/>
    </row>
    <row r="28" spans="1:9">
      <c r="A28" s="600" t="s">
        <v>122</v>
      </c>
      <c r="B28" s="600"/>
      <c r="C28" s="600"/>
      <c r="D28" s="600"/>
      <c r="E28" s="600"/>
      <c r="F28" s="600"/>
      <c r="G28" s="600"/>
    </row>
    <row r="29" spans="1:9">
      <c r="A29" s="234" t="s">
        <v>190</v>
      </c>
      <c r="B29" s="324"/>
      <c r="C29" s="245"/>
      <c r="D29" s="245"/>
      <c r="E29" s="245"/>
      <c r="F29" s="245"/>
      <c r="G29" s="245"/>
    </row>
    <row r="30" spans="1:9" ht="37.5">
      <c r="A30" s="8" t="s">
        <v>14</v>
      </c>
      <c r="B30" s="324">
        <v>3200</v>
      </c>
      <c r="C30" s="245">
        <f>'3.1.Рух грошових коштів'!F31</f>
        <v>0</v>
      </c>
      <c r="D30" s="245"/>
      <c r="E30" s="245"/>
      <c r="F30" s="245"/>
      <c r="G30" s="245"/>
    </row>
    <row r="31" spans="1:9" ht="37.5">
      <c r="A31" s="8" t="s">
        <v>15</v>
      </c>
      <c r="B31" s="324">
        <v>3210</v>
      </c>
      <c r="C31" s="411">
        <f>'3.1.Рух грошових коштів'!F32</f>
        <v>0</v>
      </c>
      <c r="D31" s="245"/>
      <c r="E31" s="245"/>
      <c r="F31" s="245"/>
      <c r="G31" s="245"/>
    </row>
    <row r="32" spans="1:9" ht="37.5">
      <c r="A32" s="8" t="s">
        <v>36</v>
      </c>
      <c r="B32" s="324">
        <v>3220</v>
      </c>
      <c r="C32" s="411">
        <f>'3.1.Рух грошових коштів'!F33</f>
        <v>0</v>
      </c>
      <c r="D32" s="245"/>
      <c r="E32" s="245"/>
      <c r="F32" s="245"/>
      <c r="G32" s="245"/>
    </row>
    <row r="33" spans="1:8">
      <c r="A33" s="33" t="s">
        <v>445</v>
      </c>
      <c r="B33" s="324"/>
      <c r="C33" s="411">
        <f>'3.1.Рух грошових коштів'!F34</f>
        <v>0</v>
      </c>
      <c r="D33" s="245"/>
      <c r="E33" s="245"/>
      <c r="F33" s="245"/>
      <c r="G33" s="245"/>
    </row>
    <row r="34" spans="1:8">
      <c r="A34" s="8" t="s">
        <v>126</v>
      </c>
      <c r="B34" s="324">
        <v>3230</v>
      </c>
      <c r="C34" s="411">
        <f>'3.1.Рух грошових коштів'!F35</f>
        <v>0</v>
      </c>
      <c r="D34" s="245"/>
      <c r="E34" s="245"/>
      <c r="F34" s="245"/>
      <c r="G34" s="245"/>
    </row>
    <row r="35" spans="1:8">
      <c r="A35" s="8" t="s">
        <v>127</v>
      </c>
      <c r="B35" s="324">
        <v>3240</v>
      </c>
      <c r="C35" s="411">
        <f>'3.1.Рух грошових коштів'!F36</f>
        <v>0</v>
      </c>
      <c r="D35" s="245"/>
      <c r="E35" s="245"/>
      <c r="F35" s="245"/>
      <c r="G35" s="245"/>
    </row>
    <row r="36" spans="1:8">
      <c r="A36" s="33" t="s">
        <v>128</v>
      </c>
      <c r="B36" s="324">
        <v>3250</v>
      </c>
      <c r="C36" s="411">
        <f>'3.1.Рух грошових коштів'!F37</f>
        <v>0</v>
      </c>
      <c r="D36" s="245"/>
      <c r="E36" s="245"/>
      <c r="F36" s="245"/>
      <c r="G36" s="245"/>
    </row>
    <row r="37" spans="1:8" ht="24.75" customHeight="1">
      <c r="A37" s="8" t="s">
        <v>96</v>
      </c>
      <c r="B37" s="324">
        <v>3260</v>
      </c>
      <c r="C37" s="411">
        <f>'3.1.Рух грошових коштів'!F38</f>
        <v>0</v>
      </c>
      <c r="D37" s="245"/>
      <c r="E37" s="245"/>
      <c r="F37" s="245"/>
      <c r="G37" s="245"/>
    </row>
    <row r="38" spans="1:8">
      <c r="A38" s="234" t="s">
        <v>192</v>
      </c>
      <c r="B38" s="324"/>
      <c r="C38" s="411">
        <f>'3.1.Рух грошових коштів'!F39</f>
        <v>0</v>
      </c>
      <c r="D38" s="245"/>
      <c r="E38" s="245"/>
      <c r="F38" s="245"/>
      <c r="G38" s="245"/>
    </row>
    <row r="39" spans="1:8" ht="37.5" customHeight="1">
      <c r="A39" s="334" t="s">
        <v>97</v>
      </c>
      <c r="B39" s="324">
        <v>3270</v>
      </c>
      <c r="C39" s="411">
        <f>'3.1.Рух грошових коштів'!F40</f>
        <v>0</v>
      </c>
      <c r="D39" s="245"/>
      <c r="E39" s="245"/>
      <c r="F39" s="245"/>
      <c r="G39" s="245"/>
      <c r="H39" s="526">
        <f>'4.Кап. інвестиції'!D9</f>
        <v>4218.8999999999996</v>
      </c>
    </row>
    <row r="40" spans="1:8" ht="37.5">
      <c r="A40" s="8" t="s">
        <v>98</v>
      </c>
      <c r="B40" s="324">
        <v>3280</v>
      </c>
      <c r="C40" s="411">
        <f>'3.1.Рух грошових коштів'!F41</f>
        <v>0</v>
      </c>
      <c r="D40" s="245"/>
      <c r="E40" s="245"/>
      <c r="F40" s="245"/>
      <c r="G40" s="245"/>
    </row>
    <row r="41" spans="1:8" ht="56.25">
      <c r="A41" s="8" t="s">
        <v>99</v>
      </c>
      <c r="B41" s="324">
        <v>3290</v>
      </c>
      <c r="C41" s="411">
        <f>'3.1.Рух грошових коштів'!F42</f>
        <v>0</v>
      </c>
      <c r="D41" s="245"/>
      <c r="E41" s="245"/>
      <c r="F41" s="245"/>
      <c r="G41" s="245"/>
    </row>
    <row r="42" spans="1:8">
      <c r="A42" s="8" t="s">
        <v>37</v>
      </c>
      <c r="B42" s="324">
        <v>3300</v>
      </c>
      <c r="C42" s="411">
        <f>'3.1.Рух грошових коштів'!F43</f>
        <v>0</v>
      </c>
      <c r="D42" s="245"/>
      <c r="E42" s="245"/>
      <c r="F42" s="245"/>
      <c r="G42" s="245"/>
    </row>
    <row r="43" spans="1:8">
      <c r="A43" s="8" t="s">
        <v>90</v>
      </c>
      <c r="B43" s="324">
        <v>3310</v>
      </c>
      <c r="C43" s="411">
        <f>'3.1.Рух грошових коштів'!F44</f>
        <v>0</v>
      </c>
      <c r="D43" s="245"/>
      <c r="E43" s="245"/>
      <c r="F43" s="245"/>
      <c r="G43" s="245"/>
    </row>
    <row r="44" spans="1:8" ht="37.5">
      <c r="A44" s="234" t="s">
        <v>123</v>
      </c>
      <c r="B44" s="324">
        <v>3320</v>
      </c>
      <c r="C44" s="411">
        <f>'3.1.Рух грошових коштів'!F45</f>
        <v>0</v>
      </c>
      <c r="D44" s="245"/>
      <c r="E44" s="245"/>
      <c r="F44" s="245"/>
      <c r="G44" s="245"/>
    </row>
    <row r="45" spans="1:8">
      <c r="A45" s="600" t="s">
        <v>124</v>
      </c>
      <c r="B45" s="600"/>
      <c r="C45" s="600"/>
      <c r="D45" s="600"/>
      <c r="E45" s="600"/>
      <c r="F45" s="600"/>
      <c r="G45" s="600"/>
    </row>
    <row r="46" spans="1:8">
      <c r="A46" s="234" t="s">
        <v>191</v>
      </c>
      <c r="B46" s="324"/>
      <c r="C46" s="56"/>
      <c r="D46" s="56"/>
      <c r="E46" s="56"/>
      <c r="F46" s="56"/>
      <c r="G46" s="56"/>
    </row>
    <row r="47" spans="1:8">
      <c r="A47" s="33" t="s">
        <v>129</v>
      </c>
      <c r="B47" s="324">
        <v>3400</v>
      </c>
      <c r="C47" s="56">
        <f>'3.1.Рух грошових коштів'!F48</f>
        <v>0</v>
      </c>
      <c r="D47" s="56"/>
      <c r="E47" s="56"/>
      <c r="F47" s="56"/>
      <c r="G47" s="56"/>
    </row>
    <row r="48" spans="1:8" ht="56.25">
      <c r="A48" s="8" t="s">
        <v>73</v>
      </c>
      <c r="B48" s="233"/>
      <c r="C48" s="56">
        <f>'3.1.Рух грошових коштів'!F49</f>
        <v>0</v>
      </c>
      <c r="D48" s="56"/>
      <c r="E48" s="56"/>
      <c r="F48" s="56"/>
      <c r="G48" s="56"/>
    </row>
    <row r="49" spans="1:8" s="272" customFormat="1">
      <c r="A49" s="274" t="s">
        <v>72</v>
      </c>
      <c r="B49" s="336">
        <v>3410</v>
      </c>
      <c r="C49" s="56">
        <f>'3.1.Рух грошових коштів'!F50</f>
        <v>0</v>
      </c>
      <c r="D49" s="289"/>
      <c r="E49" s="289"/>
      <c r="F49" s="289"/>
      <c r="G49" s="289"/>
    </row>
    <row r="50" spans="1:8" s="272" customFormat="1">
      <c r="A50" s="274" t="s">
        <v>77</v>
      </c>
      <c r="B50" s="335">
        <v>3420</v>
      </c>
      <c r="C50" s="56">
        <f>'3.1.Рух грошових коштів'!F51</f>
        <v>0</v>
      </c>
      <c r="D50" s="289"/>
      <c r="E50" s="289"/>
      <c r="F50" s="289"/>
      <c r="G50" s="289"/>
    </row>
    <row r="51" spans="1:8" s="272" customFormat="1">
      <c r="A51" s="274" t="s">
        <v>100</v>
      </c>
      <c r="B51" s="336">
        <v>3430</v>
      </c>
      <c r="C51" s="56">
        <f>'3.1.Рух грошових коштів'!F52</f>
        <v>0</v>
      </c>
      <c r="D51" s="289"/>
      <c r="E51" s="289"/>
      <c r="F51" s="289"/>
      <c r="G51" s="289"/>
    </row>
    <row r="52" spans="1:8" ht="56.25">
      <c r="A52" s="8" t="s">
        <v>75</v>
      </c>
      <c r="B52" s="324"/>
      <c r="C52" s="56">
        <f>'3.1.Рух грошових коштів'!F53</f>
        <v>5.7</v>
      </c>
      <c r="D52" s="56"/>
      <c r="E52" s="56"/>
      <c r="F52" s="56"/>
      <c r="G52" s="56"/>
    </row>
    <row r="53" spans="1:8" s="272" customFormat="1">
      <c r="A53" s="274" t="s">
        <v>72</v>
      </c>
      <c r="B53" s="335">
        <v>3440</v>
      </c>
      <c r="C53" s="56">
        <f>'3.1.Рух грошових коштів'!F54</f>
        <v>0</v>
      </c>
      <c r="D53" s="289"/>
      <c r="E53" s="289"/>
      <c r="F53" s="289"/>
      <c r="G53" s="289"/>
    </row>
    <row r="54" spans="1:8" s="272" customFormat="1">
      <c r="A54" s="274" t="s">
        <v>77</v>
      </c>
      <c r="B54" s="335">
        <v>3450</v>
      </c>
      <c r="C54" s="56">
        <f>'3.1.Рух грошових коштів'!F55</f>
        <v>0</v>
      </c>
      <c r="D54" s="289"/>
      <c r="E54" s="289"/>
      <c r="F54" s="289"/>
      <c r="G54" s="289"/>
    </row>
    <row r="55" spans="1:8" s="272" customFormat="1">
      <c r="A55" s="274" t="s">
        <v>100</v>
      </c>
      <c r="B55" s="335">
        <v>3460</v>
      </c>
      <c r="C55" s="56">
        <f>'3.1.Рух грошових коштів'!F56</f>
        <v>0</v>
      </c>
      <c r="D55" s="289"/>
      <c r="E55" s="289"/>
      <c r="F55" s="289"/>
      <c r="G55" s="289"/>
    </row>
    <row r="56" spans="1:8" ht="37.5">
      <c r="A56" s="8" t="s">
        <v>95</v>
      </c>
      <c r="B56" s="235">
        <v>3470</v>
      </c>
      <c r="C56" s="56">
        <f>'3.1.Рух грошових коштів'!F57</f>
        <v>0</v>
      </c>
      <c r="D56" s="56"/>
      <c r="E56" s="56"/>
      <c r="F56" s="56"/>
      <c r="G56" s="56"/>
      <c r="H56" s="526">
        <f>H39</f>
        <v>4218.8999999999996</v>
      </c>
    </row>
    <row r="57" spans="1:8" ht="21.75" customHeight="1">
      <c r="A57" s="8" t="s">
        <v>96</v>
      </c>
      <c r="B57" s="235">
        <v>3480</v>
      </c>
      <c r="C57" s="56">
        <f>'3.1.Рух грошових коштів'!F58</f>
        <v>0</v>
      </c>
      <c r="D57" s="56"/>
      <c r="E57" s="56"/>
      <c r="F57" s="56"/>
      <c r="G57" s="56"/>
    </row>
    <row r="58" spans="1:8">
      <c r="A58" s="234" t="s">
        <v>192</v>
      </c>
      <c r="B58" s="324"/>
      <c r="C58" s="56">
        <f>'3.1.Рух грошових коштів'!F59</f>
        <v>0</v>
      </c>
      <c r="D58" s="56"/>
      <c r="E58" s="56"/>
      <c r="F58" s="56"/>
      <c r="G58" s="56"/>
    </row>
    <row r="59" spans="1:8" ht="56.25">
      <c r="A59" s="8" t="s">
        <v>205</v>
      </c>
      <c r="B59" s="324">
        <v>3490</v>
      </c>
      <c r="C59" s="56">
        <f>'3.1.Рух грошових коштів'!F60</f>
        <v>0</v>
      </c>
      <c r="D59" s="245"/>
      <c r="E59" s="56"/>
      <c r="F59" s="56"/>
      <c r="G59" s="56"/>
      <c r="H59">
        <f>'2.Розрахунки з бюджетом'!D18</f>
        <v>5.5513524072000182</v>
      </c>
    </row>
    <row r="60" spans="1:8" ht="37.5">
      <c r="A60" s="8" t="s">
        <v>206</v>
      </c>
      <c r="B60" s="324">
        <v>3500</v>
      </c>
      <c r="C60" s="56">
        <f>'3.1.Рух грошових коштів'!F61</f>
        <v>0</v>
      </c>
      <c r="D60" s="56"/>
      <c r="E60" s="56"/>
      <c r="F60" s="56"/>
      <c r="G60" s="56"/>
    </row>
    <row r="61" spans="1:8" ht="56.25">
      <c r="A61" s="230" t="s">
        <v>76</v>
      </c>
      <c r="B61" s="279"/>
      <c r="C61" s="57">
        <f>'3.1.Рух грошових коштів'!F62</f>
        <v>0</v>
      </c>
      <c r="D61" s="57"/>
      <c r="E61" s="57"/>
      <c r="F61" s="57"/>
      <c r="G61" s="57"/>
    </row>
    <row r="62" spans="1:8" s="272" customFormat="1">
      <c r="A62" s="274" t="s">
        <v>72</v>
      </c>
      <c r="B62" s="335">
        <v>3510</v>
      </c>
      <c r="C62" s="289">
        <f>'3.1.Рух грошових коштів'!F63</f>
        <v>0</v>
      </c>
      <c r="D62" s="289"/>
      <c r="E62" s="289"/>
      <c r="F62" s="289"/>
      <c r="G62" s="289"/>
    </row>
    <row r="63" spans="1:8" s="272" customFormat="1">
      <c r="A63" s="274" t="s">
        <v>77</v>
      </c>
      <c r="B63" s="335">
        <v>3520</v>
      </c>
      <c r="C63" s="289">
        <f>'3.1.Рух грошових коштів'!F64</f>
        <v>0</v>
      </c>
      <c r="D63" s="289"/>
      <c r="E63" s="289"/>
      <c r="F63" s="289"/>
      <c r="G63" s="289"/>
    </row>
    <row r="64" spans="1:8" s="272" customFormat="1">
      <c r="A64" s="274" t="s">
        <v>100</v>
      </c>
      <c r="B64" s="335">
        <v>3530</v>
      </c>
      <c r="C64" s="289">
        <f>'3.1.Рух грошових коштів'!F65</f>
        <v>0</v>
      </c>
      <c r="D64" s="289"/>
      <c r="E64" s="289"/>
      <c r="F64" s="289"/>
      <c r="G64" s="289"/>
    </row>
    <row r="65" spans="1:11" ht="56.25">
      <c r="A65" s="230" t="s">
        <v>74</v>
      </c>
      <c r="B65" s="279"/>
      <c r="C65" s="56">
        <f>'3.1.Рух грошових коштів'!F66</f>
        <v>0</v>
      </c>
      <c r="D65" s="57"/>
      <c r="E65" s="57"/>
      <c r="F65" s="57"/>
      <c r="G65" s="57"/>
    </row>
    <row r="66" spans="1:11" s="272" customFormat="1">
      <c r="A66" s="274" t="s">
        <v>72</v>
      </c>
      <c r="B66" s="335">
        <v>3540</v>
      </c>
      <c r="C66" s="289">
        <f>'3.1.Рух грошових коштів'!F67</f>
        <v>0</v>
      </c>
      <c r="D66" s="289"/>
      <c r="E66" s="289"/>
      <c r="F66" s="289"/>
      <c r="G66" s="289"/>
    </row>
    <row r="67" spans="1:11" s="272" customFormat="1">
      <c r="A67" s="274" t="s">
        <v>77</v>
      </c>
      <c r="B67" s="335">
        <v>3550</v>
      </c>
      <c r="C67" s="289">
        <f>'3.1.Рух грошових коштів'!F68</f>
        <v>0</v>
      </c>
      <c r="D67" s="289"/>
      <c r="E67" s="289"/>
      <c r="F67" s="289"/>
      <c r="G67" s="289"/>
    </row>
    <row r="68" spans="1:11" s="272" customFormat="1">
      <c r="A68" s="274" t="s">
        <v>100</v>
      </c>
      <c r="B68" s="335">
        <v>3560</v>
      </c>
      <c r="C68" s="289">
        <f>'3.1.Рух грошових коштів'!F69</f>
        <v>0</v>
      </c>
      <c r="D68" s="289"/>
      <c r="E68" s="289"/>
      <c r="F68" s="289"/>
      <c r="G68" s="289"/>
    </row>
    <row r="69" spans="1:11">
      <c r="A69" s="8" t="s">
        <v>90</v>
      </c>
      <c r="B69" s="235">
        <v>3570</v>
      </c>
      <c r="C69" s="289">
        <f>'3.1.Рух грошових коштів'!F70</f>
        <v>0</v>
      </c>
      <c r="D69" s="56"/>
      <c r="E69" s="56"/>
      <c r="F69" s="56"/>
      <c r="G69" s="56"/>
    </row>
    <row r="70" spans="1:11" ht="37.5">
      <c r="A70" s="234" t="s">
        <v>125</v>
      </c>
      <c r="B70" s="235">
        <v>3580</v>
      </c>
      <c r="C70" s="56">
        <f>'3.1.Рух грошових коштів'!F71</f>
        <v>5.7</v>
      </c>
      <c r="D70" s="56"/>
      <c r="E70" s="56"/>
      <c r="F70" s="56"/>
      <c r="G70" s="56"/>
    </row>
    <row r="71" spans="1:11">
      <c r="A71" s="8" t="s">
        <v>16</v>
      </c>
      <c r="B71" s="235"/>
      <c r="C71" s="245">
        <f>C72+C74</f>
        <v>921.42288639999742</v>
      </c>
      <c r="D71" s="539">
        <f>D72+D74</f>
        <v>1096</v>
      </c>
      <c r="E71" s="245">
        <f>D71-C71</f>
        <v>174.57711360000258</v>
      </c>
      <c r="F71" s="245">
        <f>D71/C71*100</f>
        <v>118.94647030985696</v>
      </c>
      <c r="G71" s="56"/>
    </row>
    <row r="72" spans="1:11">
      <c r="A72" s="326" t="s">
        <v>17</v>
      </c>
      <c r="B72" s="327">
        <v>3600</v>
      </c>
      <c r="C72" s="328">
        <f>'3.1.Рух грошових коштів'!F73</f>
        <v>448</v>
      </c>
      <c r="D72" s="328">
        <v>448</v>
      </c>
      <c r="E72" s="328">
        <f>D72-C72</f>
        <v>0</v>
      </c>
      <c r="F72" s="328">
        <f>D72/C72*100</f>
        <v>100</v>
      </c>
      <c r="G72" s="287"/>
    </row>
    <row r="73" spans="1:11" ht="37.5">
      <c r="A73" s="319" t="s">
        <v>130</v>
      </c>
      <c r="B73" s="235">
        <v>3610</v>
      </c>
      <c r="C73" s="82">
        <f>'3.1.Рух грошових коштів'!F74</f>
        <v>0</v>
      </c>
      <c r="D73" s="82">
        <v>0</v>
      </c>
      <c r="E73" s="82">
        <v>0</v>
      </c>
      <c r="F73" s="82">
        <v>0</v>
      </c>
      <c r="G73" s="57"/>
    </row>
    <row r="74" spans="1:11" ht="23.25">
      <c r="A74" s="326" t="s">
        <v>38</v>
      </c>
      <c r="B74" s="327">
        <v>3620</v>
      </c>
      <c r="C74" s="328">
        <f>C75+C72+C73</f>
        <v>473.42288639999748</v>
      </c>
      <c r="D74" s="328">
        <v>648</v>
      </c>
      <c r="E74" s="328">
        <f>D74-C74</f>
        <v>174.57711360000252</v>
      </c>
      <c r="F74" s="328">
        <f>D74/C74*100</f>
        <v>136.87551206649974</v>
      </c>
      <c r="G74" s="287"/>
      <c r="I74" s="433">
        <v>648</v>
      </c>
      <c r="K74" s="496">
        <f>I74-D73:D74</f>
        <v>0</v>
      </c>
    </row>
    <row r="75" spans="1:11">
      <c r="A75" s="230" t="s">
        <v>18</v>
      </c>
      <c r="B75" s="235">
        <v>3630</v>
      </c>
      <c r="C75" s="82">
        <f>'1.Фінансовий результат'!C96</f>
        <v>25.422886399997502</v>
      </c>
      <c r="D75" s="82">
        <f>D27+D44+D70</f>
        <v>37.009016048000916</v>
      </c>
      <c r="E75" s="82">
        <f>D75-C75</f>
        <v>11.586129648003414</v>
      </c>
      <c r="F75" s="82">
        <f>D75/C75*100</f>
        <v>145.57362002767928</v>
      </c>
      <c r="G75" s="57"/>
      <c r="I75">
        <v>485</v>
      </c>
    </row>
    <row r="76" spans="1:11">
      <c r="B76" s="329"/>
      <c r="C76" s="330"/>
      <c r="D76" s="331"/>
      <c r="E76" s="331"/>
      <c r="F76" s="331"/>
      <c r="G76" s="331"/>
    </row>
    <row r="77" spans="1:11">
      <c r="A77" s="305" t="s">
        <v>419</v>
      </c>
      <c r="B77" s="322"/>
      <c r="C77" s="333" t="s">
        <v>447</v>
      </c>
      <c r="D77" s="321"/>
      <c r="E77" s="560" t="s">
        <v>330</v>
      </c>
      <c r="F77" s="560"/>
      <c r="G77" s="560"/>
    </row>
    <row r="78" spans="1:11">
      <c r="A78" s="303" t="s">
        <v>446</v>
      </c>
      <c r="B78" s="21"/>
      <c r="C78" s="242" t="s">
        <v>62</v>
      </c>
      <c r="D78" s="23"/>
      <c r="E78" s="612" t="s">
        <v>81</v>
      </c>
      <c r="F78" s="612"/>
      <c r="G78" s="612"/>
    </row>
    <row r="80" spans="1:11">
      <c r="D80" s="488"/>
    </row>
  </sheetData>
  <mergeCells count="9">
    <mergeCell ref="A45:G45"/>
    <mergeCell ref="E77:G77"/>
    <mergeCell ref="E78:G78"/>
    <mergeCell ref="A1:G1"/>
    <mergeCell ref="A3:A4"/>
    <mergeCell ref="B3:B4"/>
    <mergeCell ref="C3:G3"/>
    <mergeCell ref="A6:G6"/>
    <mergeCell ref="A28:G28"/>
  </mergeCells>
  <pageMargins left="0.7" right="0.7" top="0.75" bottom="0.75" header="0.3" footer="0.3"/>
  <pageSetup paperSize="9" scale="65" orientation="portrait" r:id="rId1"/>
  <rowBreaks count="1" manualBreakCount="1">
    <brk id="37" max="6" man="1"/>
  </rowBreaks>
  <colBreaks count="1" manualBreakCount="1">
    <brk id="7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191"/>
  <sheetViews>
    <sheetView view="pageBreakPreview" zoomScale="60" zoomScaleNormal="100" workbookViewId="0">
      <selection activeCell="A22" sqref="A22"/>
    </sheetView>
  </sheetViews>
  <sheetFormatPr defaultRowHeight="18.75" outlineLevelRow="1"/>
  <cols>
    <col min="1" max="1" width="51.42578125" style="244" customWidth="1"/>
    <col min="2" max="2" width="10.7109375" style="21" customWidth="1"/>
    <col min="3" max="3" width="10.140625" style="244" customWidth="1"/>
    <col min="4" max="4" width="10.7109375" style="244" customWidth="1"/>
    <col min="5" max="5" width="10.7109375" style="244" bestFit="1" customWidth="1"/>
    <col min="6" max="6" width="11.7109375" style="244" customWidth="1"/>
    <col min="7" max="7" width="17.28515625" style="244" customWidth="1"/>
  </cols>
  <sheetData>
    <row r="2" spans="1:7">
      <c r="A2" s="550" t="s">
        <v>530</v>
      </c>
      <c r="B2" s="550"/>
      <c r="C2" s="550"/>
      <c r="D2" s="550"/>
      <c r="E2" s="550"/>
      <c r="F2" s="550"/>
      <c r="G2" s="550"/>
    </row>
    <row r="3" spans="1:7">
      <c r="A3" s="620"/>
      <c r="B3" s="620"/>
      <c r="C3" s="620"/>
      <c r="D3" s="620"/>
      <c r="E3" s="620"/>
      <c r="F3" s="620"/>
      <c r="G3" s="620"/>
    </row>
    <row r="4" spans="1:7" ht="18.75" customHeight="1">
      <c r="A4" s="545" t="s">
        <v>186</v>
      </c>
      <c r="B4" s="546" t="s">
        <v>5</v>
      </c>
      <c r="C4" s="548" t="s">
        <v>416</v>
      </c>
      <c r="D4" s="549"/>
      <c r="E4" s="549"/>
      <c r="F4" s="549"/>
      <c r="G4" s="619" t="s">
        <v>421</v>
      </c>
    </row>
    <row r="5" spans="1:7" ht="57.75" customHeight="1">
      <c r="A5" s="545"/>
      <c r="B5" s="547"/>
      <c r="C5" s="264" t="s">
        <v>414</v>
      </c>
      <c r="D5" s="264" t="s">
        <v>417</v>
      </c>
      <c r="E5" s="264" t="s">
        <v>418</v>
      </c>
      <c r="F5" s="459" t="s">
        <v>420</v>
      </c>
      <c r="G5" s="619"/>
    </row>
    <row r="6" spans="1:7">
      <c r="A6" s="235">
        <v>1</v>
      </c>
      <c r="B6" s="237">
        <v>2</v>
      </c>
      <c r="C6" s="237">
        <v>3</v>
      </c>
      <c r="D6" s="237">
        <v>4</v>
      </c>
      <c r="E6" s="237">
        <v>5</v>
      </c>
      <c r="F6" s="237">
        <v>6</v>
      </c>
      <c r="G6" s="237">
        <v>7</v>
      </c>
    </row>
    <row r="7" spans="1:7" ht="51" customHeight="1">
      <c r="A7" s="337" t="s">
        <v>64</v>
      </c>
      <c r="B7" s="338">
        <v>4000</v>
      </c>
      <c r="C7" s="339">
        <f>C8+C9+C17+C18+C19</f>
        <v>8733.9</v>
      </c>
      <c r="D7" s="339">
        <f>D8+D9+D17+D18+D19</f>
        <v>4218.8999999999996</v>
      </c>
      <c r="E7" s="339">
        <f>D7-C7</f>
        <v>-4515</v>
      </c>
      <c r="F7" s="82">
        <f>D7/C7*100</f>
        <v>48.304880981005049</v>
      </c>
      <c r="G7" s="489" t="s">
        <v>546</v>
      </c>
    </row>
    <row r="8" spans="1:7">
      <c r="A8" s="8" t="s">
        <v>326</v>
      </c>
      <c r="B8" s="53" t="s">
        <v>170</v>
      </c>
      <c r="C8" s="339">
        <f>'4.1.Кап. інвестиції'!F9</f>
        <v>0</v>
      </c>
      <c r="D8" s="82">
        <v>0</v>
      </c>
      <c r="E8" s="339">
        <f t="shared" ref="E8:E22" si="0">D8-C8</f>
        <v>0</v>
      </c>
      <c r="F8" s="339">
        <v>0</v>
      </c>
      <c r="G8" s="56"/>
    </row>
    <row r="9" spans="1:7" ht="37.5">
      <c r="A9" s="230" t="s">
        <v>449</v>
      </c>
      <c r="B9" s="52">
        <v>4020</v>
      </c>
      <c r="C9" s="82">
        <f>C14+C11+C15+C16+C12+C13+C10</f>
        <v>8733.9</v>
      </c>
      <c r="D9" s="82">
        <f>D14+D11+D15+D16+D12+D13+D10</f>
        <v>4218.8999999999996</v>
      </c>
      <c r="E9" s="339">
        <f t="shared" si="0"/>
        <v>-4515</v>
      </c>
      <c r="F9" s="340">
        <f t="shared" ref="F9:F22" si="1">D9/C9*100</f>
        <v>48.304880981005049</v>
      </c>
      <c r="G9" s="56"/>
    </row>
    <row r="10" spans="1:7" ht="23.25" customHeight="1">
      <c r="A10" s="250" t="str">
        <f>'4.1.Кап. інвестиції'!A11</f>
        <v>Придбання автомобіля сміттєвоза ВЛІВ Міні Б</v>
      </c>
      <c r="B10" s="53" t="s">
        <v>328</v>
      </c>
      <c r="C10" s="345">
        <f>'4.1.Кап. інвестиції'!F11</f>
        <v>1746</v>
      </c>
      <c r="D10" s="270">
        <v>1746</v>
      </c>
      <c r="E10" s="349">
        <f t="shared" ref="E10" si="2">D10-C10</f>
        <v>0</v>
      </c>
      <c r="F10" s="349">
        <f t="shared" ref="F10" si="3">D10/C10*100</f>
        <v>100</v>
      </c>
      <c r="G10" s="409"/>
    </row>
    <row r="11" spans="1:7" ht="48.75" customHeight="1">
      <c r="A11" s="250" t="str">
        <f>'4.1.Кап. інвестиції'!A12</f>
        <v xml:space="preserve">Придбання 50 контейнерів для збирання твердих побутових відходів 1,1м3 на кладовище міста </v>
      </c>
      <c r="B11" s="53" t="s">
        <v>375</v>
      </c>
      <c r="C11" s="345">
        <f>'4.1.Кап. інвестиції'!F12</f>
        <v>474.9</v>
      </c>
      <c r="D11" s="270">
        <v>474.9</v>
      </c>
      <c r="E11" s="345">
        <f>D11-C11</f>
        <v>0</v>
      </c>
      <c r="F11" s="345">
        <f>D11/C11*100</f>
        <v>100</v>
      </c>
      <c r="G11" s="346"/>
    </row>
    <row r="12" spans="1:7" ht="26.25" customHeight="1">
      <c r="A12" s="250" t="str">
        <f>'4.1.Кап. інвестиції'!A13</f>
        <v xml:space="preserve">Придбання   автобуса  марки "АТАМАН" </v>
      </c>
      <c r="B12" s="53" t="s">
        <v>409</v>
      </c>
      <c r="C12" s="345">
        <f>'4.1.Кап. інвестиції'!F13</f>
        <v>1998</v>
      </c>
      <c r="D12" s="268">
        <v>1998</v>
      </c>
      <c r="E12" s="345">
        <f t="shared" ref="E12:E16" si="4">D12-C12</f>
        <v>0</v>
      </c>
      <c r="F12" s="345">
        <f t="shared" ref="F12:F16" si="5">D12/C12*100</f>
        <v>100</v>
      </c>
      <c r="G12" s="56"/>
    </row>
    <row r="13" spans="1:7" ht="72.75" customHeight="1">
      <c r="A13" s="250" t="str">
        <f>'4.1.Кап. інвестиції'!A14</f>
        <v>Придбання   автомобіля (автомобіля вантажопасажирського)марки FORD TRANSIT Y363 Kombi          для транспортування до моргу померлих на судмедекспертизу</v>
      </c>
      <c r="B13" s="53" t="s">
        <v>410</v>
      </c>
      <c r="C13" s="345">
        <f>'4.1.Кап. інвестиції'!F14</f>
        <v>945</v>
      </c>
      <c r="D13" s="268">
        <v>0</v>
      </c>
      <c r="E13" s="345">
        <f t="shared" si="4"/>
        <v>-945</v>
      </c>
      <c r="F13" s="345">
        <f t="shared" si="5"/>
        <v>0</v>
      </c>
      <c r="G13" s="56"/>
    </row>
    <row r="14" spans="1:7" ht="36.75" customHeight="1">
      <c r="A14" s="250" t="str">
        <f>'4.1.Кап. інвестиції'!A15</f>
        <v>Придбання автомобіля МАЗ 437№2Супер Міні( для вивезення сміття з кладовищ міста)</v>
      </c>
      <c r="B14" s="53" t="s">
        <v>533</v>
      </c>
      <c r="C14" s="345">
        <f>'4.1.Кап. інвестиції'!F15</f>
        <v>0</v>
      </c>
      <c r="D14" s="268">
        <v>0</v>
      </c>
      <c r="E14" s="345">
        <f t="shared" si="4"/>
        <v>0</v>
      </c>
      <c r="F14" s="345"/>
      <c r="G14" s="58"/>
    </row>
    <row r="15" spans="1:7" ht="20.25" customHeight="1">
      <c r="A15" s="250" t="str">
        <f>'4.1.Кап. інвестиції'!A16</f>
        <v>Екскаватор - навантажувач "Катерпіллар"</v>
      </c>
      <c r="B15" s="53" t="s">
        <v>541</v>
      </c>
      <c r="C15" s="345">
        <f>'4.1.Кап. інвестиції'!F16</f>
        <v>1890</v>
      </c>
      <c r="D15" s="268">
        <v>0</v>
      </c>
      <c r="E15" s="345">
        <f t="shared" si="4"/>
        <v>-1890</v>
      </c>
      <c r="F15" s="345">
        <f t="shared" si="5"/>
        <v>0</v>
      </c>
      <c r="G15" s="325"/>
    </row>
    <row r="16" spans="1:7" ht="31.5" customHeight="1">
      <c r="A16" s="250" t="str">
        <f>'4.1.Кап. інвестиції'!A17</f>
        <v>Мікроавтобус для транспортування до моргу померлих на судмедекспертизу</v>
      </c>
      <c r="B16" s="53" t="s">
        <v>543</v>
      </c>
      <c r="C16" s="345">
        <f>'4.1.Кап. інвестиції'!F17</f>
        <v>1680</v>
      </c>
      <c r="D16" s="268">
        <v>0</v>
      </c>
      <c r="E16" s="345">
        <f t="shared" si="4"/>
        <v>-1680</v>
      </c>
      <c r="F16" s="345">
        <f t="shared" si="5"/>
        <v>0</v>
      </c>
      <c r="G16" s="346"/>
    </row>
    <row r="17" spans="1:7" s="272" customFormat="1" ht="41.25" customHeight="1">
      <c r="A17" s="253" t="s">
        <v>13</v>
      </c>
      <c r="B17" s="53">
        <v>4030</v>
      </c>
      <c r="C17" s="339">
        <f>'4.1.Кап. інвестиції'!F18</f>
        <v>0</v>
      </c>
      <c r="D17" s="123">
        <v>0</v>
      </c>
      <c r="E17" s="339">
        <f t="shared" si="0"/>
        <v>0</v>
      </c>
      <c r="F17" s="339">
        <v>0</v>
      </c>
      <c r="G17" s="289"/>
    </row>
    <row r="18" spans="1:7" ht="37.5">
      <c r="A18" s="230" t="s">
        <v>1</v>
      </c>
      <c r="B18" s="52">
        <v>4040</v>
      </c>
      <c r="C18" s="339">
        <f>'4.1.Кап. інвестиції'!F19</f>
        <v>0</v>
      </c>
      <c r="D18" s="476">
        <v>0</v>
      </c>
      <c r="E18" s="339">
        <f t="shared" si="0"/>
        <v>0</v>
      </c>
      <c r="F18" s="339">
        <v>0</v>
      </c>
      <c r="G18" s="56"/>
    </row>
    <row r="19" spans="1:7" ht="56.25" customHeight="1">
      <c r="A19" s="230" t="s">
        <v>450</v>
      </c>
      <c r="B19" s="53">
        <v>4050</v>
      </c>
      <c r="C19" s="339">
        <f>C20+C21+C22</f>
        <v>0</v>
      </c>
      <c r="D19" s="349">
        <f>D20+D21+D22</f>
        <v>0</v>
      </c>
      <c r="E19" s="339">
        <f t="shared" si="0"/>
        <v>0</v>
      </c>
      <c r="F19" s="339">
        <v>0</v>
      </c>
      <c r="G19" s="56"/>
    </row>
    <row r="20" spans="1:7" ht="35.25" hidden="1" customHeight="1" outlineLevel="1">
      <c r="A20" s="347" t="s">
        <v>369</v>
      </c>
      <c r="B20" s="348" t="s">
        <v>451</v>
      </c>
      <c r="C20" s="345">
        <f>'4.1.Кап. інвестиції'!F21</f>
        <v>0</v>
      </c>
      <c r="D20" s="435">
        <v>0</v>
      </c>
      <c r="E20" s="345">
        <f t="shared" si="0"/>
        <v>0</v>
      </c>
      <c r="F20" s="345" t="e">
        <f t="shared" si="1"/>
        <v>#DIV/0!</v>
      </c>
      <c r="G20" s="346"/>
    </row>
    <row r="21" spans="1:7" ht="35.25" hidden="1" customHeight="1" outlineLevel="1">
      <c r="A21" s="347" t="s">
        <v>370</v>
      </c>
      <c r="B21" s="113" t="s">
        <v>372</v>
      </c>
      <c r="C21" s="345">
        <f>'4.1.Кап. інвестиції'!F22</f>
        <v>0</v>
      </c>
      <c r="D21" s="435"/>
      <c r="E21" s="345">
        <f t="shared" si="0"/>
        <v>0</v>
      </c>
      <c r="F21" s="345" t="e">
        <f t="shared" si="1"/>
        <v>#DIV/0!</v>
      </c>
      <c r="G21" s="346"/>
    </row>
    <row r="22" spans="1:7" ht="54.75" hidden="1" customHeight="1" outlineLevel="1">
      <c r="A22" s="347" t="s">
        <v>371</v>
      </c>
      <c r="B22" s="113" t="s">
        <v>364</v>
      </c>
      <c r="C22" s="345">
        <f>'4.1.Кап. інвестиції'!F23</f>
        <v>0</v>
      </c>
      <c r="D22" s="436">
        <v>0</v>
      </c>
      <c r="E22" s="345">
        <f t="shared" si="0"/>
        <v>0</v>
      </c>
      <c r="F22" s="345" t="e">
        <f t="shared" si="1"/>
        <v>#DIV/0!</v>
      </c>
      <c r="G22" s="346"/>
    </row>
    <row r="23" spans="1:7" collapsed="1">
      <c r="A23" s="233"/>
      <c r="B23" s="2"/>
    </row>
    <row r="24" spans="1:7" ht="95.25" customHeight="1">
      <c r="A24" s="305" t="s">
        <v>419</v>
      </c>
      <c r="B24" s="1"/>
      <c r="C24" s="344"/>
      <c r="D24" s="344"/>
      <c r="F24" s="618" t="s">
        <v>453</v>
      </c>
      <c r="G24" s="618"/>
    </row>
    <row r="25" spans="1:7" s="269" customFormat="1" ht="12.75">
      <c r="A25" s="276" t="s">
        <v>446</v>
      </c>
      <c r="B25" s="277"/>
      <c r="C25" s="342" t="s">
        <v>62</v>
      </c>
      <c r="D25" s="278"/>
      <c r="E25" s="553" t="s">
        <v>452</v>
      </c>
      <c r="F25" s="553"/>
      <c r="G25" s="553"/>
    </row>
    <row r="26" spans="1:7">
      <c r="A26" s="37"/>
    </row>
    <row r="27" spans="1:7">
      <c r="A27" s="37"/>
    </row>
    <row r="28" spans="1:7">
      <c r="A28" s="37"/>
    </row>
    <row r="29" spans="1:7">
      <c r="A29" s="37"/>
    </row>
    <row r="30" spans="1:7">
      <c r="A30" s="37"/>
    </row>
    <row r="31" spans="1:7">
      <c r="A31" s="37"/>
    </row>
    <row r="32" spans="1:7">
      <c r="A32" s="37"/>
    </row>
    <row r="33" spans="1:1">
      <c r="A33" s="37"/>
    </row>
    <row r="34" spans="1:1">
      <c r="A34" s="37"/>
    </row>
    <row r="35" spans="1:1">
      <c r="A35" s="37"/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  <row r="44" spans="1:1">
      <c r="A44" s="37"/>
    </row>
    <row r="45" spans="1:1">
      <c r="A45" s="37"/>
    </row>
    <row r="46" spans="1:1">
      <c r="A46" s="37"/>
    </row>
    <row r="47" spans="1:1">
      <c r="A47" s="37"/>
    </row>
    <row r="48" spans="1:1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  <row r="63" spans="1:1">
      <c r="A63" s="37"/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7"/>
    </row>
    <row r="78" spans="1:1">
      <c r="A78" s="37"/>
    </row>
    <row r="79" spans="1:1">
      <c r="A79" s="37"/>
    </row>
    <row r="80" spans="1:1">
      <c r="A80" s="37"/>
    </row>
    <row r="81" spans="1:1">
      <c r="A81" s="37"/>
    </row>
    <row r="82" spans="1:1">
      <c r="A82" s="37"/>
    </row>
    <row r="83" spans="1:1">
      <c r="A83" s="37"/>
    </row>
    <row r="84" spans="1:1">
      <c r="A84" s="37"/>
    </row>
    <row r="85" spans="1:1">
      <c r="A85" s="37"/>
    </row>
    <row r="86" spans="1:1">
      <c r="A86" s="37"/>
    </row>
    <row r="87" spans="1:1">
      <c r="A87" s="37"/>
    </row>
    <row r="88" spans="1:1">
      <c r="A88" s="37"/>
    </row>
    <row r="89" spans="1:1">
      <c r="A89" s="37"/>
    </row>
    <row r="90" spans="1:1">
      <c r="A90" s="37"/>
    </row>
    <row r="91" spans="1:1">
      <c r="A91" s="37"/>
    </row>
    <row r="92" spans="1:1">
      <c r="A92" s="37"/>
    </row>
    <row r="93" spans="1:1">
      <c r="A93" s="37"/>
    </row>
    <row r="94" spans="1:1">
      <c r="A94" s="37"/>
    </row>
    <row r="95" spans="1:1">
      <c r="A95" s="37"/>
    </row>
    <row r="96" spans="1:1">
      <c r="A96" s="37"/>
    </row>
    <row r="97" spans="1:1">
      <c r="A97" s="37"/>
    </row>
    <row r="98" spans="1:1">
      <c r="A98" s="37"/>
    </row>
    <row r="99" spans="1:1">
      <c r="A99" s="37"/>
    </row>
    <row r="100" spans="1:1">
      <c r="A100" s="37"/>
    </row>
    <row r="101" spans="1:1">
      <c r="A101" s="37"/>
    </row>
    <row r="102" spans="1:1">
      <c r="A102" s="37"/>
    </row>
    <row r="103" spans="1:1">
      <c r="A103" s="37"/>
    </row>
    <row r="104" spans="1:1">
      <c r="A104" s="37"/>
    </row>
    <row r="105" spans="1:1">
      <c r="A105" s="37"/>
    </row>
    <row r="106" spans="1:1">
      <c r="A106" s="37"/>
    </row>
    <row r="107" spans="1:1">
      <c r="A107" s="37"/>
    </row>
    <row r="108" spans="1:1">
      <c r="A108" s="37"/>
    </row>
    <row r="109" spans="1:1">
      <c r="A109" s="37"/>
    </row>
    <row r="110" spans="1:1">
      <c r="A110" s="37"/>
    </row>
    <row r="111" spans="1:1">
      <c r="A111" s="37"/>
    </row>
    <row r="112" spans="1:1">
      <c r="A112" s="37"/>
    </row>
    <row r="113" spans="1:1">
      <c r="A113" s="37"/>
    </row>
    <row r="114" spans="1:1">
      <c r="A114" s="37"/>
    </row>
    <row r="115" spans="1:1">
      <c r="A115" s="37"/>
    </row>
    <row r="116" spans="1:1">
      <c r="A116" s="37"/>
    </row>
    <row r="117" spans="1:1">
      <c r="A117" s="37"/>
    </row>
    <row r="118" spans="1:1">
      <c r="A118" s="37"/>
    </row>
    <row r="119" spans="1:1">
      <c r="A119" s="37"/>
    </row>
    <row r="120" spans="1:1">
      <c r="A120" s="37"/>
    </row>
    <row r="121" spans="1:1">
      <c r="A121" s="37"/>
    </row>
    <row r="122" spans="1:1">
      <c r="A122" s="37"/>
    </row>
    <row r="123" spans="1:1">
      <c r="A123" s="37"/>
    </row>
    <row r="124" spans="1:1">
      <c r="A124" s="37"/>
    </row>
    <row r="125" spans="1:1">
      <c r="A125" s="37"/>
    </row>
    <row r="126" spans="1:1">
      <c r="A126" s="37"/>
    </row>
    <row r="127" spans="1:1">
      <c r="A127" s="37"/>
    </row>
    <row r="128" spans="1:1">
      <c r="A128" s="37"/>
    </row>
    <row r="129" spans="1:1">
      <c r="A129" s="37"/>
    </row>
    <row r="130" spans="1:1">
      <c r="A130" s="37"/>
    </row>
    <row r="131" spans="1:1">
      <c r="A131" s="37"/>
    </row>
    <row r="132" spans="1:1">
      <c r="A132" s="37"/>
    </row>
    <row r="133" spans="1:1">
      <c r="A133" s="37"/>
    </row>
    <row r="134" spans="1:1">
      <c r="A134" s="37"/>
    </row>
    <row r="135" spans="1:1">
      <c r="A135" s="37"/>
    </row>
    <row r="136" spans="1:1">
      <c r="A136" s="37"/>
    </row>
    <row r="137" spans="1:1">
      <c r="A137" s="37"/>
    </row>
    <row r="138" spans="1:1">
      <c r="A138" s="37"/>
    </row>
    <row r="139" spans="1:1">
      <c r="A139" s="37"/>
    </row>
    <row r="140" spans="1:1">
      <c r="A140" s="37"/>
    </row>
    <row r="141" spans="1:1">
      <c r="A141" s="37"/>
    </row>
    <row r="142" spans="1:1">
      <c r="A142" s="37"/>
    </row>
    <row r="143" spans="1:1">
      <c r="A143" s="37"/>
    </row>
    <row r="144" spans="1:1">
      <c r="A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37"/>
    </row>
    <row r="149" spans="1:1">
      <c r="A149" s="37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  <row r="154" spans="1:1">
      <c r="A154" s="37"/>
    </row>
    <row r="155" spans="1:1">
      <c r="A155" s="37"/>
    </row>
    <row r="156" spans="1:1">
      <c r="A156" s="37"/>
    </row>
    <row r="157" spans="1:1">
      <c r="A157" s="37"/>
    </row>
    <row r="158" spans="1:1">
      <c r="A158" s="37"/>
    </row>
    <row r="159" spans="1:1">
      <c r="A159" s="37"/>
    </row>
    <row r="160" spans="1:1">
      <c r="A160" s="37"/>
    </row>
    <row r="161" spans="1:1">
      <c r="A161" s="37"/>
    </row>
    <row r="162" spans="1:1">
      <c r="A162" s="37"/>
    </row>
    <row r="163" spans="1:1">
      <c r="A163" s="37"/>
    </row>
    <row r="164" spans="1:1">
      <c r="A164" s="37"/>
    </row>
    <row r="165" spans="1:1">
      <c r="A165" s="37"/>
    </row>
    <row r="166" spans="1:1">
      <c r="A166" s="37"/>
    </row>
    <row r="167" spans="1:1">
      <c r="A167" s="37"/>
    </row>
    <row r="168" spans="1:1">
      <c r="A168" s="37"/>
    </row>
    <row r="169" spans="1:1">
      <c r="A169" s="37"/>
    </row>
    <row r="170" spans="1:1">
      <c r="A170" s="37"/>
    </row>
    <row r="171" spans="1:1">
      <c r="A171" s="37"/>
    </row>
    <row r="172" spans="1:1">
      <c r="A172" s="37"/>
    </row>
    <row r="173" spans="1:1">
      <c r="A173" s="37"/>
    </row>
    <row r="174" spans="1:1">
      <c r="A174" s="37"/>
    </row>
    <row r="175" spans="1:1">
      <c r="A175" s="37"/>
    </row>
    <row r="176" spans="1:1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37"/>
    </row>
    <row r="185" spans="1:1">
      <c r="A185" s="37"/>
    </row>
    <row r="186" spans="1:1">
      <c r="A186" s="37"/>
    </row>
    <row r="187" spans="1:1">
      <c r="A187" s="37"/>
    </row>
    <row r="188" spans="1:1">
      <c r="A188" s="37"/>
    </row>
    <row r="189" spans="1:1">
      <c r="A189" s="37"/>
    </row>
    <row r="190" spans="1:1">
      <c r="A190" s="37"/>
    </row>
    <row r="191" spans="1:1">
      <c r="A191" s="37"/>
    </row>
  </sheetData>
  <mergeCells count="8">
    <mergeCell ref="E25:G25"/>
    <mergeCell ref="F24:G24"/>
    <mergeCell ref="C4:F4"/>
    <mergeCell ref="G4:G5"/>
    <mergeCell ref="A2:G2"/>
    <mergeCell ref="A3:G3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X96"/>
  <sheetViews>
    <sheetView tabSelected="1" zoomScale="75" zoomScaleNormal="75" workbookViewId="0">
      <selection activeCell="N31" sqref="N31:O31"/>
    </sheetView>
  </sheetViews>
  <sheetFormatPr defaultRowHeight="18.75"/>
  <cols>
    <col min="1" max="1" width="16.42578125" style="2" customWidth="1"/>
    <col min="2" max="2" width="13.7109375" style="17" customWidth="1"/>
    <col min="3" max="3" width="11.85546875" style="2" customWidth="1"/>
    <col min="4" max="4" width="10.28515625" style="2" customWidth="1"/>
    <col min="5" max="5" width="9.140625" style="2"/>
    <col min="6" max="6" width="12" style="2" customWidth="1"/>
    <col min="7" max="7" width="11.42578125" style="2" customWidth="1"/>
    <col min="8" max="8" width="11.5703125" style="2" customWidth="1"/>
    <col min="9" max="15" width="9.140625" style="2"/>
    <col min="16" max="16" width="9.28515625" style="2" bestFit="1" customWidth="1"/>
    <col min="17" max="19" width="9.140625" style="2"/>
    <col min="20" max="20" width="9.28515625" style="2" bestFit="1" customWidth="1"/>
    <col min="21" max="24" width="9.140625" style="2"/>
  </cols>
  <sheetData>
    <row r="1" spans="1:24">
      <c r="B1" s="2"/>
    </row>
    <row r="2" spans="1:24">
      <c r="A2" s="550" t="s">
        <v>486</v>
      </c>
      <c r="B2" s="550"/>
      <c r="C2" s="550"/>
      <c r="D2" s="550"/>
      <c r="E2" s="550"/>
      <c r="F2" s="550"/>
      <c r="G2" s="550"/>
      <c r="H2" s="238"/>
      <c r="K2" s="247"/>
      <c r="L2" s="247"/>
      <c r="M2" s="247"/>
      <c r="N2" s="247"/>
      <c r="O2" s="247"/>
    </row>
    <row r="3" spans="1:24">
      <c r="A3" s="550" t="s">
        <v>529</v>
      </c>
      <c r="B3" s="550"/>
      <c r="C3" s="550"/>
      <c r="D3" s="550"/>
      <c r="E3" s="550"/>
      <c r="F3" s="550"/>
      <c r="G3" s="550"/>
      <c r="H3" s="238"/>
      <c r="K3" s="247"/>
      <c r="L3" s="247"/>
      <c r="M3" s="247"/>
      <c r="N3" s="247"/>
      <c r="O3" s="247"/>
    </row>
    <row r="4" spans="1:24">
      <c r="A4" s="626" t="s">
        <v>487</v>
      </c>
      <c r="B4" s="626"/>
      <c r="C4" s="626"/>
      <c r="D4" s="626"/>
      <c r="E4" s="626"/>
      <c r="F4" s="626"/>
      <c r="G4" s="626"/>
      <c r="H4" s="238"/>
      <c r="K4" s="21"/>
      <c r="L4" s="21"/>
      <c r="M4" s="21"/>
      <c r="N4" s="21"/>
      <c r="O4" s="21"/>
    </row>
    <row r="5" spans="1:24">
      <c r="A5" s="627" t="s">
        <v>105</v>
      </c>
      <c r="B5" s="627"/>
      <c r="C5" s="627"/>
      <c r="D5" s="627"/>
      <c r="E5" s="627"/>
      <c r="F5" s="627"/>
      <c r="G5" s="627"/>
      <c r="H5" s="341"/>
      <c r="K5" s="226"/>
      <c r="L5" s="226"/>
      <c r="M5" s="226"/>
      <c r="N5" s="226"/>
      <c r="O5" s="226"/>
    </row>
    <row r="6" spans="1:24">
      <c r="A6" s="550" t="s">
        <v>488</v>
      </c>
      <c r="B6" s="550"/>
      <c r="C6" s="550"/>
      <c r="D6" s="550"/>
      <c r="E6" s="550"/>
      <c r="F6" s="550"/>
      <c r="G6" s="550"/>
      <c r="H6" s="5"/>
      <c r="K6" s="5"/>
      <c r="L6" s="5"/>
      <c r="M6" s="5"/>
      <c r="N6" s="5"/>
      <c r="O6" s="5"/>
    </row>
    <row r="7" spans="1:24">
      <c r="A7" s="628" t="s">
        <v>225</v>
      </c>
      <c r="B7" s="628"/>
      <c r="C7" s="628"/>
      <c r="D7" s="628"/>
      <c r="E7" s="628"/>
      <c r="F7" s="628"/>
      <c r="G7" s="628"/>
      <c r="H7" s="244"/>
    </row>
    <row r="8" spans="1:24" ht="47.25">
      <c r="A8" s="235" t="s">
        <v>186</v>
      </c>
      <c r="B8" s="366" t="s">
        <v>489</v>
      </c>
      <c r="C8" s="366" t="s">
        <v>490</v>
      </c>
      <c r="D8" s="621" t="s">
        <v>491</v>
      </c>
      <c r="E8" s="621"/>
      <c r="F8" s="621" t="s">
        <v>492</v>
      </c>
      <c r="G8" s="622"/>
      <c r="H8" s="40"/>
      <c r="I8" s="40"/>
      <c r="J8" s="40"/>
      <c r="K8" s="40"/>
      <c r="L8" s="40"/>
      <c r="M8" s="40"/>
      <c r="N8" s="623"/>
      <c r="O8" s="623"/>
      <c r="P8" s="244"/>
      <c r="Q8" s="244"/>
      <c r="R8" s="244"/>
      <c r="S8" s="244"/>
      <c r="T8" s="244"/>
      <c r="U8" s="244"/>
      <c r="V8" s="244"/>
      <c r="W8" s="244"/>
      <c r="X8" s="244"/>
    </row>
    <row r="9" spans="1:24">
      <c r="A9" s="235">
        <v>1</v>
      </c>
      <c r="B9" s="113">
        <v>2</v>
      </c>
      <c r="C9" s="113">
        <v>3</v>
      </c>
      <c r="D9" s="624">
        <v>4</v>
      </c>
      <c r="E9" s="624"/>
      <c r="F9" s="624">
        <v>5</v>
      </c>
      <c r="G9" s="625"/>
      <c r="H9" s="40"/>
      <c r="I9" s="40"/>
      <c r="J9" s="40"/>
      <c r="K9" s="40"/>
      <c r="L9" s="40"/>
      <c r="M9" s="40"/>
      <c r="N9" s="623"/>
      <c r="O9" s="623"/>
      <c r="P9" s="244"/>
      <c r="Q9" s="244"/>
      <c r="R9" s="244"/>
      <c r="S9" s="244"/>
      <c r="T9" s="244"/>
      <c r="U9" s="244"/>
      <c r="V9" s="244"/>
      <c r="W9" s="244"/>
      <c r="X9" s="244"/>
    </row>
    <row r="10" spans="1:24" ht="78.75">
      <c r="A10" s="114" t="s">
        <v>106</v>
      </c>
      <c r="B10" s="228">
        <f>B11+B12+B13+B14+B15</f>
        <v>86</v>
      </c>
      <c r="C10" s="478">
        <v>97</v>
      </c>
      <c r="D10" s="629">
        <f>C10-B10</f>
        <v>11</v>
      </c>
      <c r="E10" s="629"/>
      <c r="F10" s="630">
        <f>C10/B10*100</f>
        <v>112.79069767441861</v>
      </c>
      <c r="G10" s="631"/>
      <c r="H10" s="241"/>
      <c r="I10" s="241"/>
      <c r="J10" s="479"/>
      <c r="K10" s="241"/>
      <c r="L10" s="241"/>
      <c r="M10" s="241"/>
      <c r="N10" s="632"/>
      <c r="O10" s="632"/>
      <c r="P10" s="244"/>
      <c r="Q10" s="244"/>
      <c r="R10" s="244"/>
      <c r="S10" s="244"/>
      <c r="T10" s="244"/>
      <c r="U10" s="244"/>
      <c r="V10" s="244"/>
      <c r="W10" s="244"/>
      <c r="X10" s="244"/>
    </row>
    <row r="11" spans="1:24">
      <c r="A11" s="67" t="s">
        <v>207</v>
      </c>
      <c r="B11" s="240">
        <f>'5.1. Інша інформація'!E15</f>
        <v>4</v>
      </c>
      <c r="C11" s="480">
        <v>4</v>
      </c>
      <c r="D11" s="629">
        <f t="shared" ref="D11:D31" si="0">C11-B11</f>
        <v>0</v>
      </c>
      <c r="E11" s="629"/>
      <c r="F11" s="630">
        <f t="shared" ref="F11:F32" si="1">C11/B11*100</f>
        <v>100</v>
      </c>
      <c r="G11" s="631"/>
      <c r="H11" s="241"/>
      <c r="I11" s="241"/>
      <c r="J11" s="241"/>
      <c r="K11" s="241"/>
      <c r="L11" s="241"/>
      <c r="M11" s="241"/>
      <c r="N11" s="632"/>
      <c r="O11" s="632"/>
      <c r="P11" s="244"/>
      <c r="Q11" s="244"/>
      <c r="R11" s="244"/>
      <c r="S11" s="244"/>
      <c r="T11" s="244"/>
      <c r="U11" s="244"/>
      <c r="V11" s="244"/>
      <c r="W11" s="244"/>
      <c r="X11" s="244"/>
    </row>
    <row r="12" spans="1:24">
      <c r="A12" s="67" t="s">
        <v>208</v>
      </c>
      <c r="B12" s="240">
        <f>'5.1. Інша інформація'!E16</f>
        <v>6</v>
      </c>
      <c r="C12" s="480">
        <v>6</v>
      </c>
      <c r="D12" s="629">
        <f t="shared" si="0"/>
        <v>0</v>
      </c>
      <c r="E12" s="629"/>
      <c r="F12" s="630">
        <f t="shared" si="1"/>
        <v>100</v>
      </c>
      <c r="G12" s="631"/>
      <c r="H12" s="241"/>
      <c r="I12" s="241"/>
      <c r="J12" s="241"/>
      <c r="K12" s="241"/>
      <c r="L12" s="241"/>
      <c r="M12" s="241"/>
      <c r="N12" s="632"/>
      <c r="O12" s="632"/>
      <c r="P12" s="244"/>
      <c r="Q12" s="244"/>
      <c r="R12" s="244"/>
      <c r="S12" s="244"/>
      <c r="T12" s="244"/>
      <c r="U12" s="244"/>
      <c r="V12" s="244"/>
      <c r="W12" s="244"/>
      <c r="X12" s="244"/>
    </row>
    <row r="13" spans="1:24">
      <c r="A13" s="67" t="s">
        <v>209</v>
      </c>
      <c r="B13" s="240">
        <f>'5.1. Інша інформація'!E17</f>
        <v>2</v>
      </c>
      <c r="C13" s="480">
        <v>2</v>
      </c>
      <c r="D13" s="629">
        <f t="shared" si="0"/>
        <v>0</v>
      </c>
      <c r="E13" s="629"/>
      <c r="F13" s="630">
        <f t="shared" si="1"/>
        <v>100</v>
      </c>
      <c r="G13" s="631"/>
      <c r="H13" s="241"/>
      <c r="I13" s="241"/>
      <c r="J13" s="241"/>
      <c r="K13" s="241"/>
      <c r="L13" s="241"/>
      <c r="M13" s="241"/>
      <c r="N13" s="632"/>
      <c r="O13" s="632"/>
      <c r="P13" s="244"/>
      <c r="Q13" s="244"/>
      <c r="R13" s="244"/>
      <c r="S13" s="244"/>
      <c r="T13" s="244"/>
      <c r="U13" s="244"/>
      <c r="V13" s="244"/>
      <c r="W13" s="244"/>
      <c r="X13" s="244"/>
    </row>
    <row r="14" spans="1:24" ht="31.5">
      <c r="A14" s="67" t="s">
        <v>210</v>
      </c>
      <c r="B14" s="240">
        <f>'5.1. Інша інформація'!E18</f>
        <v>2</v>
      </c>
      <c r="C14" s="480">
        <v>2</v>
      </c>
      <c r="D14" s="629">
        <f t="shared" si="0"/>
        <v>0</v>
      </c>
      <c r="E14" s="629"/>
      <c r="F14" s="630">
        <f t="shared" si="1"/>
        <v>100</v>
      </c>
      <c r="G14" s="631"/>
      <c r="H14" s="241"/>
      <c r="I14" s="241"/>
      <c r="J14" s="241"/>
      <c r="K14" s="241"/>
      <c r="L14" s="241"/>
      <c r="M14" s="241"/>
      <c r="N14" s="632"/>
      <c r="O14" s="632"/>
      <c r="P14" s="244"/>
      <c r="Q14" s="244"/>
      <c r="R14" s="244"/>
      <c r="S14" s="244"/>
      <c r="T14" s="244"/>
      <c r="U14" s="244"/>
      <c r="V14" s="244"/>
      <c r="W14" s="244"/>
      <c r="X14" s="244"/>
    </row>
    <row r="15" spans="1:24">
      <c r="A15" s="67" t="s">
        <v>211</v>
      </c>
      <c r="B15" s="240">
        <f>'5.1. Інша інформація'!E19</f>
        <v>72</v>
      </c>
      <c r="C15" s="480">
        <v>83</v>
      </c>
      <c r="D15" s="629">
        <f t="shared" si="0"/>
        <v>11</v>
      </c>
      <c r="E15" s="629"/>
      <c r="F15" s="630">
        <f t="shared" si="1"/>
        <v>115.27777777777777</v>
      </c>
      <c r="G15" s="631"/>
      <c r="H15" s="241"/>
      <c r="I15" s="241"/>
      <c r="J15" s="241"/>
      <c r="K15" s="241"/>
      <c r="L15" s="241"/>
      <c r="M15" s="241"/>
      <c r="N15" s="632"/>
      <c r="O15" s="632"/>
      <c r="P15" s="244"/>
      <c r="Q15" s="244"/>
      <c r="R15" s="244"/>
      <c r="S15" s="244"/>
      <c r="T15" s="244"/>
      <c r="U15" s="244"/>
      <c r="V15" s="244"/>
      <c r="W15" s="244"/>
      <c r="X15" s="244"/>
    </row>
    <row r="16" spans="1:24">
      <c r="A16" s="67" t="s">
        <v>212</v>
      </c>
      <c r="B16" s="67"/>
      <c r="C16" s="67"/>
      <c r="D16" s="629"/>
      <c r="E16" s="629"/>
      <c r="F16" s="630"/>
      <c r="G16" s="631"/>
      <c r="H16" s="241"/>
      <c r="I16" s="241"/>
      <c r="J16" s="241"/>
      <c r="K16" s="241"/>
      <c r="L16" s="241"/>
      <c r="M16" s="241"/>
      <c r="N16" s="632"/>
      <c r="O16" s="632"/>
      <c r="P16" s="244"/>
      <c r="Q16" s="244"/>
      <c r="R16" s="244"/>
      <c r="S16" s="244"/>
      <c r="T16" s="244"/>
      <c r="U16" s="244"/>
      <c r="V16" s="244"/>
      <c r="W16" s="244"/>
      <c r="X16" s="244"/>
    </row>
    <row r="17" spans="1:24" ht="63">
      <c r="A17" s="114" t="s">
        <v>193</v>
      </c>
      <c r="B17" s="368">
        <f>'1.Фінансовий результат'!C104</f>
        <v>9987.0829999999987</v>
      </c>
      <c r="C17" s="368">
        <f>'1.Фінансовий результат'!D104</f>
        <v>9622.9598799999985</v>
      </c>
      <c r="D17" s="630">
        <f t="shared" si="0"/>
        <v>-364.1231200000002</v>
      </c>
      <c r="E17" s="630"/>
      <c r="F17" s="630">
        <f t="shared" si="1"/>
        <v>96.35405933844747</v>
      </c>
      <c r="G17" s="631"/>
      <c r="H17" s="241"/>
      <c r="I17" s="241"/>
      <c r="J17" s="241"/>
      <c r="K17" s="241"/>
      <c r="L17" s="241"/>
      <c r="M17" s="241"/>
      <c r="N17" s="632"/>
      <c r="O17" s="632"/>
      <c r="P17" s="244"/>
      <c r="Q17" s="244"/>
      <c r="R17" s="244"/>
      <c r="S17" s="244"/>
      <c r="T17" s="244"/>
      <c r="U17" s="244"/>
      <c r="V17" s="244"/>
      <c r="W17" s="244"/>
      <c r="X17" s="244"/>
    </row>
    <row r="18" spans="1:24">
      <c r="A18" s="67" t="s">
        <v>184</v>
      </c>
      <c r="B18" s="240">
        <f>'5.1. Інша інформація'!E22/12*12</f>
        <v>200.9</v>
      </c>
      <c r="C18" s="495">
        <f>(322003.79+0)/1000</f>
        <v>322.00378999999998</v>
      </c>
      <c r="D18" s="629">
        <f t="shared" si="0"/>
        <v>121.10378999999998</v>
      </c>
      <c r="E18" s="629"/>
      <c r="F18" s="630">
        <f t="shared" si="1"/>
        <v>160.28063215530113</v>
      </c>
      <c r="G18" s="631"/>
      <c r="H18" s="241"/>
      <c r="I18" s="538">
        <f>(322003.79+58202.38)/1000</f>
        <v>380.20616999999999</v>
      </c>
      <c r="J18" s="241"/>
      <c r="K18" s="241"/>
      <c r="L18" s="241"/>
      <c r="M18" s="241"/>
      <c r="N18" s="632"/>
      <c r="O18" s="632"/>
      <c r="P18" s="244"/>
      <c r="Q18" s="244"/>
      <c r="R18" s="244"/>
      <c r="S18" s="244"/>
      <c r="T18" s="244"/>
      <c r="U18" s="244"/>
      <c r="V18" s="244"/>
      <c r="W18" s="244"/>
      <c r="X18" s="244"/>
    </row>
    <row r="19" spans="1:24" ht="63">
      <c r="A19" s="67" t="s">
        <v>195</v>
      </c>
      <c r="B19" s="186">
        <f>'5.1. Інша інформація'!E23/12*12</f>
        <v>1739.3829999999998</v>
      </c>
      <c r="C19" s="495">
        <f>'1.Фінансовий результат'!D39-C18</f>
        <v>1526.99621</v>
      </c>
      <c r="D19" s="630">
        <f>C19-B19</f>
        <v>-212.38678999999979</v>
      </c>
      <c r="E19" s="630"/>
      <c r="F19" s="630">
        <f t="shared" si="1"/>
        <v>87.789532840093315</v>
      </c>
      <c r="G19" s="631"/>
      <c r="H19" s="241"/>
      <c r="I19" s="241"/>
      <c r="J19" s="241"/>
      <c r="K19" s="241"/>
      <c r="L19" s="241"/>
      <c r="M19" s="241"/>
      <c r="N19" s="632"/>
      <c r="O19" s="632"/>
      <c r="P19" s="244"/>
      <c r="Q19" s="244"/>
      <c r="R19" s="244"/>
      <c r="S19" s="244"/>
      <c r="T19" s="244"/>
      <c r="U19" s="244"/>
      <c r="V19" s="244"/>
      <c r="W19" s="244"/>
      <c r="X19" s="244"/>
    </row>
    <row r="20" spans="1:24">
      <c r="A20" s="67" t="s">
        <v>185</v>
      </c>
      <c r="B20" s="240">
        <f>B17-B18-B19</f>
        <v>8046.7999999999993</v>
      </c>
      <c r="C20" s="186">
        <f>C17-C18-C19</f>
        <v>7773.9598799999976</v>
      </c>
      <c r="D20" s="630">
        <f t="shared" si="0"/>
        <v>-272.84012000000166</v>
      </c>
      <c r="E20" s="630"/>
      <c r="F20" s="630">
        <f t="shared" si="1"/>
        <v>96.609333896704257</v>
      </c>
      <c r="G20" s="631"/>
      <c r="H20" s="241"/>
      <c r="I20" s="241"/>
      <c r="J20" s="241"/>
      <c r="K20" s="241"/>
      <c r="L20" s="241"/>
      <c r="M20" s="241"/>
      <c r="N20" s="632"/>
      <c r="O20" s="632"/>
      <c r="P20" s="244"/>
      <c r="Q20" s="244"/>
      <c r="R20" s="244"/>
      <c r="S20" s="244"/>
      <c r="T20" s="244"/>
      <c r="U20" s="244"/>
      <c r="V20" s="244"/>
      <c r="W20" s="244"/>
      <c r="X20" s="244"/>
    </row>
    <row r="21" spans="1:24" ht="63">
      <c r="A21" s="114" t="s">
        <v>194</v>
      </c>
      <c r="B21" s="368">
        <f>'1.Фінансовий результат'!C104</f>
        <v>9987.0829999999987</v>
      </c>
      <c r="C21" s="368">
        <f>'1.Фінансовий результат'!D104</f>
        <v>9622.9598799999985</v>
      </c>
      <c r="D21" s="630">
        <f t="shared" si="0"/>
        <v>-364.1231200000002</v>
      </c>
      <c r="E21" s="630"/>
      <c r="F21" s="630">
        <f t="shared" si="1"/>
        <v>96.35405933844747</v>
      </c>
      <c r="G21" s="631"/>
      <c r="H21" s="241"/>
      <c r="I21" s="241"/>
      <c r="J21" s="241"/>
      <c r="K21" s="241"/>
      <c r="L21" s="241"/>
      <c r="M21" s="241"/>
      <c r="N21" s="632"/>
      <c r="O21" s="632"/>
      <c r="P21" s="244"/>
      <c r="Q21" s="244"/>
      <c r="R21" s="244"/>
      <c r="S21" s="244"/>
      <c r="T21" s="244"/>
      <c r="U21" s="244"/>
      <c r="V21" s="244"/>
      <c r="W21" s="244"/>
      <c r="X21" s="244"/>
    </row>
    <row r="22" spans="1:24">
      <c r="A22" s="67" t="s">
        <v>184</v>
      </c>
      <c r="B22" s="240">
        <f>B18</f>
        <v>200.9</v>
      </c>
      <c r="C22" s="186">
        <f>C18</f>
        <v>322.00378999999998</v>
      </c>
      <c r="D22" s="629">
        <f t="shared" si="0"/>
        <v>121.10378999999998</v>
      </c>
      <c r="E22" s="629"/>
      <c r="F22" s="630">
        <f t="shared" si="1"/>
        <v>160.28063215530113</v>
      </c>
      <c r="G22" s="631"/>
      <c r="H22" s="241"/>
      <c r="I22" s="241"/>
      <c r="J22" s="241"/>
      <c r="K22" s="241"/>
      <c r="L22" s="241"/>
      <c r="M22" s="241"/>
      <c r="N22" s="632"/>
      <c r="O22" s="632"/>
      <c r="P22" s="244"/>
      <c r="Q22" s="244"/>
      <c r="R22" s="244"/>
      <c r="S22" s="244"/>
      <c r="T22" s="244"/>
      <c r="U22" s="244"/>
      <c r="V22" s="244"/>
      <c r="W22" s="244"/>
      <c r="X22" s="244"/>
    </row>
    <row r="23" spans="1:24" ht="63">
      <c r="A23" s="67" t="s">
        <v>195</v>
      </c>
      <c r="B23" s="186">
        <f>B19</f>
        <v>1739.3829999999998</v>
      </c>
      <c r="C23" s="186">
        <f>C19</f>
        <v>1526.99621</v>
      </c>
      <c r="D23" s="630">
        <f t="shared" si="0"/>
        <v>-212.38678999999979</v>
      </c>
      <c r="E23" s="630"/>
      <c r="F23" s="630">
        <f t="shared" si="1"/>
        <v>87.789532840093315</v>
      </c>
      <c r="G23" s="631"/>
      <c r="H23" s="241"/>
      <c r="I23" s="241"/>
      <c r="J23" s="241"/>
      <c r="K23" s="241"/>
      <c r="L23" s="241"/>
      <c r="M23" s="241"/>
      <c r="N23" s="632"/>
      <c r="O23" s="632"/>
      <c r="P23" s="244"/>
      <c r="Q23" s="244"/>
      <c r="R23" s="244"/>
      <c r="S23" s="244"/>
      <c r="T23" s="244"/>
      <c r="U23" s="244"/>
      <c r="V23" s="244"/>
      <c r="W23" s="244"/>
      <c r="X23" s="244"/>
    </row>
    <row r="24" spans="1:24">
      <c r="A24" s="67" t="s">
        <v>185</v>
      </c>
      <c r="B24" s="186">
        <f>B21-B22-B23</f>
        <v>8046.7999999999993</v>
      </c>
      <c r="C24" s="186">
        <f>C21-C22-C23</f>
        <v>7773.9598799999976</v>
      </c>
      <c r="D24" s="630">
        <f t="shared" si="0"/>
        <v>-272.84012000000166</v>
      </c>
      <c r="E24" s="630"/>
      <c r="F24" s="630">
        <f t="shared" si="1"/>
        <v>96.609333896704257</v>
      </c>
      <c r="G24" s="631"/>
      <c r="H24" s="241"/>
      <c r="I24" s="241"/>
      <c r="J24" s="241"/>
      <c r="K24" s="241"/>
      <c r="L24" s="241"/>
      <c r="M24" s="241"/>
      <c r="N24" s="632"/>
      <c r="O24" s="632"/>
      <c r="P24" s="244"/>
      <c r="Q24" s="244"/>
      <c r="R24" s="244"/>
      <c r="S24" s="244"/>
      <c r="T24" s="244"/>
      <c r="U24" s="244"/>
      <c r="V24" s="244"/>
      <c r="W24" s="244"/>
      <c r="X24" s="244"/>
    </row>
    <row r="25" spans="1:24" ht="78.75">
      <c r="A25" s="114" t="s">
        <v>213</v>
      </c>
      <c r="B25" s="369">
        <f>B17/B10/12*1000</f>
        <v>9677.4060077519371</v>
      </c>
      <c r="C25" s="369">
        <f>C17/C10/12*1000</f>
        <v>8267.1476632302383</v>
      </c>
      <c r="D25" s="630">
        <f t="shared" si="0"/>
        <v>-1410.2583445216987</v>
      </c>
      <c r="E25" s="630"/>
      <c r="F25" s="630">
        <f t="shared" si="1"/>
        <v>85.427310341303937</v>
      </c>
      <c r="G25" s="631"/>
      <c r="H25" s="241"/>
      <c r="I25" s="241"/>
      <c r="J25" s="241"/>
      <c r="K25" s="241"/>
      <c r="L25" s="241"/>
      <c r="M25" s="241"/>
      <c r="N25" s="632"/>
      <c r="O25" s="632"/>
      <c r="P25" s="244"/>
      <c r="Q25" s="244"/>
      <c r="R25" s="244"/>
      <c r="S25" s="244"/>
      <c r="T25" s="244"/>
      <c r="U25" s="244"/>
      <c r="V25" s="244"/>
      <c r="W25" s="244"/>
      <c r="X25" s="244"/>
    </row>
    <row r="26" spans="1:24">
      <c r="A26" s="67" t="s">
        <v>184</v>
      </c>
      <c r="B26" s="370">
        <f>B18/12*1000</f>
        <v>16741.666666666668</v>
      </c>
      <c r="C26" s="370">
        <f>C18/12*1000</f>
        <v>26833.649166666662</v>
      </c>
      <c r="D26" s="629">
        <f t="shared" si="0"/>
        <v>10091.982499999995</v>
      </c>
      <c r="E26" s="629"/>
      <c r="F26" s="630">
        <f t="shared" si="1"/>
        <v>160.28063215530111</v>
      </c>
      <c r="G26" s="631"/>
      <c r="H26" s="241"/>
      <c r="I26" s="241"/>
      <c r="J26" s="241"/>
      <c r="K26" s="241"/>
      <c r="L26" s="241"/>
      <c r="M26" s="241"/>
      <c r="N26" s="632"/>
      <c r="O26" s="632"/>
      <c r="P26" s="244"/>
      <c r="Q26" s="244"/>
      <c r="R26" s="244"/>
      <c r="S26" s="244"/>
      <c r="T26" s="244"/>
      <c r="U26" s="244"/>
      <c r="V26" s="244"/>
      <c r="W26" s="244"/>
      <c r="X26" s="244"/>
    </row>
    <row r="27" spans="1:24" ht="63">
      <c r="A27" s="67" t="s">
        <v>195</v>
      </c>
      <c r="B27" s="398">
        <f>B23/12/13*1000</f>
        <v>11149.891025641024</v>
      </c>
      <c r="C27" s="398">
        <f>C23/12/14*1000</f>
        <v>9089.2631547619058</v>
      </c>
      <c r="D27" s="630">
        <f t="shared" si="0"/>
        <v>-2060.6278708791178</v>
      </c>
      <c r="E27" s="630"/>
      <c r="F27" s="630">
        <f t="shared" si="1"/>
        <v>81.518851922943796</v>
      </c>
      <c r="G27" s="631"/>
      <c r="H27" s="241"/>
      <c r="I27" s="241"/>
      <c r="J27" s="241"/>
      <c r="K27" s="241"/>
      <c r="L27" s="241"/>
      <c r="M27" s="241"/>
      <c r="N27" s="632"/>
      <c r="O27" s="632"/>
      <c r="P27" s="244"/>
      <c r="Q27" s="244"/>
      <c r="R27" s="244"/>
      <c r="S27" s="244"/>
      <c r="T27" s="244"/>
      <c r="U27" s="244"/>
      <c r="V27" s="244"/>
      <c r="W27" s="244"/>
      <c r="X27" s="244"/>
    </row>
    <row r="28" spans="1:24">
      <c r="A28" s="67" t="s">
        <v>185</v>
      </c>
      <c r="B28" s="370">
        <f>B24/12/B15*1000</f>
        <v>9313.4259259259252</v>
      </c>
      <c r="C28" s="370">
        <f>C24/12/C15*1000</f>
        <v>7805.1806024096368</v>
      </c>
      <c r="D28" s="630">
        <f>C28-B28</f>
        <v>-1508.2453235162884</v>
      </c>
      <c r="E28" s="630"/>
      <c r="F28" s="630">
        <f t="shared" si="1"/>
        <v>83.805687235695274</v>
      </c>
      <c r="G28" s="631"/>
      <c r="H28" s="241"/>
      <c r="I28" s="241"/>
      <c r="J28" s="241"/>
      <c r="K28" s="241"/>
      <c r="L28" s="241"/>
      <c r="M28" s="241"/>
      <c r="N28" s="632"/>
      <c r="O28" s="632"/>
      <c r="P28" s="244"/>
      <c r="Q28" s="244"/>
      <c r="R28" s="244"/>
      <c r="S28" s="244"/>
      <c r="T28" s="244"/>
      <c r="U28" s="244"/>
      <c r="V28" s="244"/>
      <c r="W28" s="244"/>
      <c r="X28" s="244"/>
    </row>
    <row r="29" spans="1:24" ht="78.75">
      <c r="A29" s="114" t="s">
        <v>214</v>
      </c>
      <c r="B29" s="369">
        <f t="shared" ref="B29:C32" si="2">B25</f>
        <v>9677.4060077519371</v>
      </c>
      <c r="C29" s="369">
        <f t="shared" si="2"/>
        <v>8267.1476632302383</v>
      </c>
      <c r="D29" s="630">
        <f t="shared" si="0"/>
        <v>-1410.2583445216987</v>
      </c>
      <c r="E29" s="630"/>
      <c r="F29" s="630">
        <f t="shared" si="1"/>
        <v>85.427310341303937</v>
      </c>
      <c r="G29" s="631"/>
      <c r="H29" s="241"/>
      <c r="I29" s="241"/>
      <c r="J29" s="241"/>
      <c r="K29" s="241"/>
      <c r="L29" s="241"/>
      <c r="M29" s="241"/>
      <c r="N29" s="632"/>
      <c r="O29" s="632"/>
      <c r="P29" s="244"/>
      <c r="Q29" s="244"/>
      <c r="R29" s="244"/>
      <c r="S29" s="244"/>
      <c r="T29" s="244"/>
      <c r="U29" s="244"/>
      <c r="V29" s="244"/>
      <c r="W29" s="244"/>
      <c r="X29" s="244"/>
    </row>
    <row r="30" spans="1:24">
      <c r="A30" s="67" t="s">
        <v>184</v>
      </c>
      <c r="B30" s="370">
        <f t="shared" si="2"/>
        <v>16741.666666666668</v>
      </c>
      <c r="C30" s="370">
        <f t="shared" si="2"/>
        <v>26833.649166666662</v>
      </c>
      <c r="D30" s="629">
        <f t="shared" si="0"/>
        <v>10091.982499999995</v>
      </c>
      <c r="E30" s="629"/>
      <c r="F30" s="630">
        <f t="shared" si="1"/>
        <v>160.28063215530111</v>
      </c>
      <c r="G30" s="631"/>
      <c r="H30" s="241"/>
      <c r="I30" s="241"/>
      <c r="J30" s="241"/>
      <c r="K30" s="241"/>
      <c r="L30" s="241"/>
      <c r="M30" s="241"/>
      <c r="N30" s="632"/>
      <c r="O30" s="632"/>
      <c r="P30" s="244"/>
      <c r="Q30" s="244"/>
      <c r="R30" s="244"/>
      <c r="S30" s="244"/>
      <c r="T30" s="244"/>
      <c r="U30" s="244"/>
      <c r="V30" s="244"/>
      <c r="W30" s="244"/>
      <c r="X30" s="244"/>
    </row>
    <row r="31" spans="1:24" ht="63">
      <c r="A31" s="67" t="s">
        <v>195</v>
      </c>
      <c r="B31" s="370">
        <f t="shared" si="2"/>
        <v>11149.891025641024</v>
      </c>
      <c r="C31" s="370">
        <f t="shared" si="2"/>
        <v>9089.2631547619058</v>
      </c>
      <c r="D31" s="630">
        <f t="shared" si="0"/>
        <v>-2060.6278708791178</v>
      </c>
      <c r="E31" s="630"/>
      <c r="F31" s="630">
        <f t="shared" si="1"/>
        <v>81.518851922943796</v>
      </c>
      <c r="G31" s="631"/>
      <c r="H31" s="241"/>
      <c r="I31" s="241"/>
      <c r="J31" s="241"/>
      <c r="K31" s="241"/>
      <c r="L31" s="241"/>
      <c r="M31" s="241"/>
      <c r="N31" s="632"/>
      <c r="O31" s="632"/>
      <c r="P31" s="244"/>
      <c r="Q31" s="244"/>
      <c r="R31" s="244"/>
      <c r="S31" s="244"/>
      <c r="T31" s="244"/>
      <c r="U31" s="244"/>
      <c r="V31" s="244"/>
      <c r="W31" s="244"/>
      <c r="X31" s="244"/>
    </row>
    <row r="32" spans="1:24">
      <c r="A32" s="67" t="s">
        <v>185</v>
      </c>
      <c r="B32" s="370">
        <f t="shared" si="2"/>
        <v>9313.4259259259252</v>
      </c>
      <c r="C32" s="370">
        <f t="shared" si="2"/>
        <v>7805.1806024096368</v>
      </c>
      <c r="D32" s="630">
        <f>C32-B32</f>
        <v>-1508.2453235162884</v>
      </c>
      <c r="E32" s="630"/>
      <c r="F32" s="630">
        <f t="shared" si="1"/>
        <v>83.805687235695274</v>
      </c>
      <c r="G32" s="631"/>
      <c r="H32" s="241"/>
      <c r="I32" s="241"/>
      <c r="J32" s="241"/>
      <c r="K32" s="241"/>
      <c r="L32" s="241"/>
      <c r="M32" s="241"/>
      <c r="N32" s="632"/>
      <c r="O32" s="632"/>
      <c r="P32" s="244"/>
      <c r="Q32" s="244"/>
      <c r="R32" s="244"/>
      <c r="S32" s="244"/>
      <c r="T32" s="244"/>
      <c r="U32" s="244"/>
      <c r="V32" s="244"/>
      <c r="W32" s="244"/>
      <c r="X32" s="244"/>
    </row>
    <row r="33" spans="1:24">
      <c r="A33" s="175"/>
      <c r="B33" s="371"/>
      <c r="C33" s="371"/>
      <c r="D33" s="372"/>
      <c r="E33" s="372"/>
      <c r="F33" s="229"/>
      <c r="G33" s="373"/>
      <c r="H33" s="205"/>
      <c r="I33" s="205"/>
      <c r="J33" s="71"/>
      <c r="K33" s="71"/>
      <c r="L33" s="241"/>
      <c r="M33" s="241"/>
      <c r="N33" s="241"/>
      <c r="O33" s="241"/>
      <c r="P33" s="244"/>
      <c r="Q33" s="244"/>
      <c r="R33" s="244"/>
      <c r="S33" s="244"/>
      <c r="T33" s="244"/>
      <c r="U33" s="244"/>
      <c r="V33" s="244"/>
      <c r="W33" s="244"/>
      <c r="X33" s="244"/>
    </row>
    <row r="34" spans="1:24" ht="34.5" customHeight="1">
      <c r="A34" s="633" t="s">
        <v>493</v>
      </c>
      <c r="B34" s="634"/>
      <c r="C34" s="634"/>
      <c r="D34" s="634"/>
      <c r="E34" s="634"/>
      <c r="F34" s="634"/>
      <c r="G34" s="634"/>
      <c r="H34" s="634"/>
      <c r="I34" s="72"/>
      <c r="J34" s="72"/>
      <c r="K34" s="72"/>
      <c r="L34" s="72"/>
    </row>
    <row r="35" spans="1:24" ht="30">
      <c r="A35" s="635" t="s">
        <v>186</v>
      </c>
      <c r="B35" s="636" t="s">
        <v>494</v>
      </c>
      <c r="C35" s="636"/>
      <c r="D35" s="636" t="s">
        <v>495</v>
      </c>
      <c r="E35" s="636"/>
      <c r="F35" s="636" t="s">
        <v>496</v>
      </c>
      <c r="G35" s="636"/>
      <c r="H35" s="374" t="s">
        <v>497</v>
      </c>
      <c r="I35" s="72"/>
      <c r="J35" s="72"/>
      <c r="K35" s="72"/>
      <c r="L35" s="72"/>
      <c r="M35" s="40"/>
      <c r="N35" s="40"/>
      <c r="O35" s="40"/>
    </row>
    <row r="36" spans="1:24" ht="120.75" customHeight="1">
      <c r="A36" s="635"/>
      <c r="B36" s="374" t="s">
        <v>498</v>
      </c>
      <c r="C36" s="374" t="s">
        <v>217</v>
      </c>
      <c r="D36" s="374" t="s">
        <v>498</v>
      </c>
      <c r="E36" s="374" t="s">
        <v>499</v>
      </c>
      <c r="F36" s="374" t="s">
        <v>498</v>
      </c>
      <c r="G36" s="374" t="s">
        <v>499</v>
      </c>
      <c r="H36" s="374" t="s">
        <v>498</v>
      </c>
      <c r="I36" s="72"/>
      <c r="J36" s="72"/>
      <c r="K36" s="72"/>
      <c r="L36" s="72"/>
      <c r="M36" s="40"/>
      <c r="N36" s="40"/>
      <c r="O36" s="40"/>
    </row>
    <row r="37" spans="1:24">
      <c r="A37" s="240">
        <v>1</v>
      </c>
      <c r="B37" s="240">
        <v>2</v>
      </c>
      <c r="C37" s="240">
        <v>3</v>
      </c>
      <c r="D37" s="240">
        <v>4</v>
      </c>
      <c r="E37" s="240">
        <v>5</v>
      </c>
      <c r="F37" s="240">
        <v>6</v>
      </c>
      <c r="G37" s="113">
        <v>7</v>
      </c>
      <c r="H37" s="113">
        <v>8</v>
      </c>
      <c r="I37" s="72"/>
      <c r="J37" s="72"/>
      <c r="K37" s="72"/>
      <c r="L37" s="72"/>
      <c r="M37" s="21"/>
      <c r="N37" s="21"/>
      <c r="O37" s="21"/>
    </row>
    <row r="38" spans="1:24" ht="31.5">
      <c r="A38" s="67" t="s">
        <v>300</v>
      </c>
      <c r="B38" s="94">
        <f>'1.Фінансовий результат'!C13</f>
        <v>18975.39</v>
      </c>
      <c r="C38" s="94"/>
      <c r="D38" s="94">
        <f>'1.Фінансовий результат'!D13</f>
        <v>19637</v>
      </c>
      <c r="E38" s="94"/>
      <c r="F38" s="94">
        <f>D38-B38</f>
        <v>661.61000000000058</v>
      </c>
      <c r="G38" s="94"/>
      <c r="H38" s="94">
        <f>D38/B38*100</f>
        <v>103.4866740551841</v>
      </c>
      <c r="I38" s="72"/>
      <c r="J38" s="72"/>
      <c r="K38" s="72"/>
      <c r="L38" s="72"/>
      <c r="M38" s="71"/>
      <c r="N38" s="241"/>
      <c r="O38" s="71"/>
    </row>
    <row r="39" spans="1:24">
      <c r="A39" s="67"/>
      <c r="B39" s="94"/>
      <c r="C39" s="94"/>
      <c r="D39" s="58"/>
      <c r="E39" s="58"/>
      <c r="F39" s="58"/>
      <c r="G39" s="58"/>
      <c r="H39" s="58"/>
      <c r="I39" s="72"/>
      <c r="J39" s="72"/>
      <c r="K39" s="72"/>
      <c r="L39" s="72"/>
      <c r="M39" s="71"/>
      <c r="N39" s="71"/>
      <c r="O39" s="71"/>
    </row>
    <row r="40" spans="1:24">
      <c r="A40" s="114" t="s">
        <v>40</v>
      </c>
      <c r="B40" s="123">
        <f>B38</f>
        <v>18975.39</v>
      </c>
      <c r="C40" s="123"/>
      <c r="D40" s="123">
        <f>D38</f>
        <v>19637</v>
      </c>
      <c r="E40" s="123"/>
      <c r="F40" s="123">
        <f>F38</f>
        <v>661.61000000000058</v>
      </c>
      <c r="G40" s="123"/>
      <c r="H40" s="123">
        <f>H38</f>
        <v>103.4866740551841</v>
      </c>
      <c r="I40" s="72"/>
      <c r="J40" s="72"/>
      <c r="K40" s="72"/>
      <c r="L40" s="72"/>
      <c r="M40" s="72"/>
      <c r="N40" s="72"/>
      <c r="O40" s="72"/>
    </row>
    <row r="41" spans="1:24">
      <c r="A41" s="18"/>
      <c r="B41" s="19"/>
      <c r="C41" s="19"/>
      <c r="D41" s="19"/>
      <c r="E41" s="19"/>
      <c r="F41" s="238"/>
      <c r="G41" s="238"/>
      <c r="H41" s="40"/>
      <c r="I41" s="5"/>
      <c r="J41" s="5"/>
      <c r="K41" s="5"/>
      <c r="L41" s="5"/>
      <c r="M41" s="5"/>
      <c r="N41" s="5"/>
      <c r="O41" s="5"/>
    </row>
    <row r="42" spans="1:24">
      <c r="A42" s="637" t="s">
        <v>500</v>
      </c>
      <c r="B42" s="638"/>
      <c r="C42" s="638"/>
      <c r="D42" s="638"/>
      <c r="E42" s="638"/>
      <c r="F42" s="638"/>
      <c r="G42" s="638"/>
      <c r="H42" s="40"/>
      <c r="I42" s="5"/>
      <c r="J42" s="5"/>
      <c r="K42" s="5"/>
      <c r="L42" s="5"/>
      <c r="M42" s="5"/>
      <c r="N42" s="5"/>
      <c r="O42" s="5"/>
    </row>
    <row r="43" spans="1:24" ht="94.5">
      <c r="A43" s="240" t="s">
        <v>102</v>
      </c>
      <c r="B43" s="366" t="s">
        <v>54</v>
      </c>
      <c r="C43" s="366" t="s">
        <v>238</v>
      </c>
      <c r="D43" s="366" t="s">
        <v>51</v>
      </c>
      <c r="E43" s="366" t="s">
        <v>218</v>
      </c>
      <c r="F43" s="366" t="s">
        <v>68</v>
      </c>
      <c r="G43" s="366" t="s">
        <v>19</v>
      </c>
      <c r="H43" s="40"/>
      <c r="I43" s="40"/>
      <c r="J43" s="40"/>
      <c r="K43" s="40"/>
      <c r="L43" s="40"/>
      <c r="M43" s="40"/>
      <c r="N43" s="40"/>
      <c r="O43" s="40"/>
    </row>
    <row r="44" spans="1:24">
      <c r="A44" s="113">
        <v>1</v>
      </c>
      <c r="B44" s="113">
        <v>2</v>
      </c>
      <c r="C44" s="113">
        <v>3</v>
      </c>
      <c r="D44" s="113">
        <v>4</v>
      </c>
      <c r="E44" s="113">
        <v>5</v>
      </c>
      <c r="F44" s="375">
        <v>6</v>
      </c>
      <c r="G44" s="113">
        <v>7</v>
      </c>
      <c r="H44" s="40"/>
      <c r="I44" s="40"/>
      <c r="J44" s="40"/>
      <c r="K44" s="40"/>
      <c r="L44" s="40"/>
      <c r="M44" s="21"/>
      <c r="N44" s="21"/>
      <c r="O44" s="21"/>
    </row>
    <row r="45" spans="1:24">
      <c r="A45" s="67"/>
      <c r="B45" s="58"/>
      <c r="C45" s="58"/>
      <c r="D45" s="58"/>
      <c r="E45" s="58"/>
      <c r="F45" s="94"/>
      <c r="G45" s="240"/>
      <c r="H45" s="40"/>
      <c r="I45" s="40"/>
      <c r="J45" s="40"/>
      <c r="K45" s="40"/>
      <c r="L45" s="40"/>
      <c r="M45" s="71"/>
      <c r="N45" s="71"/>
      <c r="O45" s="71"/>
    </row>
    <row r="46" spans="1:24">
      <c r="A46" s="67" t="s">
        <v>40</v>
      </c>
      <c r="B46" s="240" t="s">
        <v>20</v>
      </c>
      <c r="C46" s="240"/>
      <c r="D46" s="240" t="s">
        <v>20</v>
      </c>
      <c r="E46" s="240" t="s">
        <v>20</v>
      </c>
      <c r="F46" s="240"/>
      <c r="G46" s="240" t="s">
        <v>20</v>
      </c>
      <c r="H46" s="40"/>
      <c r="I46" s="40"/>
      <c r="J46" s="40"/>
      <c r="K46" s="40"/>
      <c r="L46" s="40"/>
      <c r="M46" s="71"/>
      <c r="N46" s="71"/>
      <c r="O46" s="71"/>
    </row>
    <row r="47" spans="1:24">
      <c r="A47" s="315"/>
      <c r="B47" s="235"/>
      <c r="C47" s="235"/>
      <c r="D47" s="235"/>
      <c r="E47" s="235"/>
      <c r="F47" s="235"/>
      <c r="G47" s="235"/>
      <c r="H47" s="40"/>
      <c r="I47" s="40"/>
      <c r="J47" s="40"/>
      <c r="K47" s="40"/>
      <c r="L47" s="40"/>
      <c r="M47" s="244"/>
      <c r="N47" s="244"/>
      <c r="O47" s="244"/>
    </row>
    <row r="48" spans="1:24">
      <c r="A48" s="639" t="s">
        <v>236</v>
      </c>
      <c r="B48" s="640"/>
      <c r="C48" s="640"/>
      <c r="D48" s="640"/>
      <c r="E48" s="640"/>
      <c r="F48" s="640"/>
      <c r="G48" s="640"/>
      <c r="H48" s="40"/>
      <c r="I48" s="40"/>
      <c r="J48" s="40"/>
      <c r="K48" s="40"/>
      <c r="L48" s="40"/>
      <c r="M48" s="5"/>
      <c r="N48" s="5"/>
      <c r="O48" s="5"/>
    </row>
    <row r="49" spans="1:24">
      <c r="A49" s="624" t="s">
        <v>50</v>
      </c>
      <c r="B49" s="621" t="s">
        <v>501</v>
      </c>
      <c r="C49" s="621" t="s">
        <v>502</v>
      </c>
      <c r="D49" s="621"/>
      <c r="E49" s="641" t="s">
        <v>503</v>
      </c>
      <c r="F49" s="641"/>
      <c r="G49" s="621" t="s">
        <v>504</v>
      </c>
      <c r="H49" s="40"/>
      <c r="I49" s="40"/>
      <c r="J49" s="40"/>
      <c r="K49" s="40"/>
      <c r="L49" s="40"/>
      <c r="M49" s="40"/>
      <c r="N49" s="40"/>
      <c r="O49" s="40"/>
    </row>
    <row r="50" spans="1:24" ht="60.75" customHeight="1">
      <c r="A50" s="625"/>
      <c r="B50" s="622"/>
      <c r="C50" s="366" t="s">
        <v>505</v>
      </c>
      <c r="D50" s="376" t="s">
        <v>417</v>
      </c>
      <c r="E50" s="377" t="s">
        <v>505</v>
      </c>
      <c r="F50" s="376" t="s">
        <v>417</v>
      </c>
      <c r="G50" s="642"/>
      <c r="H50" s="40"/>
      <c r="I50" s="40"/>
      <c r="J50" s="40"/>
      <c r="K50" s="40"/>
      <c r="L50" s="40"/>
      <c r="M50" s="40"/>
      <c r="N50" s="40"/>
      <c r="O50" s="40"/>
    </row>
    <row r="51" spans="1:24" ht="12.75" customHeight="1">
      <c r="A51" s="240">
        <v>1</v>
      </c>
      <c r="B51" s="240">
        <v>2</v>
      </c>
      <c r="C51" s="240">
        <v>3</v>
      </c>
      <c r="D51" s="113">
        <v>4</v>
      </c>
      <c r="E51" s="378">
        <v>5</v>
      </c>
      <c r="F51" s="113">
        <v>6</v>
      </c>
      <c r="G51" s="113">
        <v>7</v>
      </c>
      <c r="H51" s="21"/>
      <c r="I51" s="21"/>
      <c r="J51" s="21"/>
      <c r="K51" s="21"/>
      <c r="L51" s="21"/>
      <c r="M51" s="21"/>
      <c r="N51" s="21"/>
      <c r="O51" s="21"/>
    </row>
    <row r="52" spans="1:24" ht="47.25">
      <c r="A52" s="67" t="s">
        <v>219</v>
      </c>
      <c r="B52" s="67"/>
      <c r="C52" s="67"/>
      <c r="D52" s="375"/>
      <c r="E52" s="379"/>
      <c r="F52" s="375"/>
      <c r="G52" s="375"/>
      <c r="H52" s="71"/>
      <c r="I52" s="71"/>
      <c r="J52" s="71"/>
      <c r="K52" s="71"/>
      <c r="L52" s="71"/>
      <c r="M52" s="71"/>
      <c r="N52" s="71"/>
      <c r="O52" s="71"/>
    </row>
    <row r="53" spans="1:24">
      <c r="A53" s="67" t="s">
        <v>82</v>
      </c>
      <c r="B53" s="67"/>
      <c r="C53" s="67"/>
      <c r="D53" s="375"/>
      <c r="E53" s="379"/>
      <c r="F53" s="375"/>
      <c r="G53" s="375"/>
      <c r="H53" s="71"/>
      <c r="I53" s="71"/>
      <c r="J53" s="71"/>
      <c r="K53" s="71"/>
      <c r="L53" s="71"/>
      <c r="M53" s="71"/>
      <c r="N53" s="71"/>
      <c r="O53" s="71"/>
    </row>
    <row r="54" spans="1:24" ht="7.5" customHeight="1">
      <c r="A54" s="67"/>
      <c r="B54" s="67"/>
      <c r="C54" s="67"/>
      <c r="D54" s="375"/>
      <c r="E54" s="379"/>
      <c r="F54" s="375"/>
      <c r="G54" s="375"/>
      <c r="H54" s="71"/>
      <c r="I54" s="71"/>
      <c r="J54" s="71"/>
      <c r="K54" s="71"/>
      <c r="L54" s="71"/>
      <c r="M54" s="71"/>
      <c r="N54" s="71"/>
      <c r="O54" s="71"/>
    </row>
    <row r="55" spans="1:24" ht="63">
      <c r="A55" s="67" t="s">
        <v>220</v>
      </c>
      <c r="B55" s="67"/>
      <c r="C55" s="67"/>
      <c r="D55" s="375"/>
      <c r="E55" s="379"/>
      <c r="F55" s="375"/>
      <c r="G55" s="375"/>
      <c r="H55" s="71"/>
      <c r="I55" s="71"/>
      <c r="J55" s="71"/>
      <c r="K55" s="71"/>
      <c r="L55" s="71"/>
      <c r="M55" s="71"/>
      <c r="N55" s="71"/>
      <c r="O55" s="71"/>
    </row>
    <row r="56" spans="1:24" ht="8.25" customHeight="1">
      <c r="A56" s="67"/>
      <c r="B56" s="67"/>
      <c r="C56" s="67"/>
      <c r="D56" s="375"/>
      <c r="E56" s="379"/>
      <c r="F56" s="375"/>
      <c r="G56" s="375"/>
      <c r="H56" s="71"/>
      <c r="I56" s="71"/>
      <c r="J56" s="71"/>
      <c r="K56" s="71"/>
      <c r="L56" s="71"/>
      <c r="M56" s="71"/>
      <c r="N56" s="71"/>
      <c r="O56" s="71"/>
    </row>
    <row r="57" spans="1:24">
      <c r="A57" s="67" t="s">
        <v>506</v>
      </c>
      <c r="B57" s="67"/>
      <c r="C57" s="67"/>
      <c r="D57" s="375"/>
      <c r="E57" s="379"/>
      <c r="F57" s="375"/>
      <c r="G57" s="375"/>
      <c r="H57" s="71"/>
      <c r="I57" s="71"/>
      <c r="J57" s="71"/>
      <c r="K57" s="71"/>
      <c r="L57" s="71"/>
      <c r="M57" s="71"/>
      <c r="N57" s="71"/>
      <c r="O57" s="71"/>
    </row>
    <row r="58" spans="1:24">
      <c r="A58" s="650" t="s">
        <v>507</v>
      </c>
      <c r="B58" s="651"/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24">
      <c r="A59" s="652" t="s">
        <v>35</v>
      </c>
      <c r="B59" s="653" t="s">
        <v>148</v>
      </c>
      <c r="C59" s="621" t="s">
        <v>149</v>
      </c>
      <c r="D59" s="621" t="s">
        <v>226</v>
      </c>
      <c r="E59" s="654" t="s">
        <v>150</v>
      </c>
      <c r="F59" s="655"/>
      <c r="G59" s="658" t="s">
        <v>239</v>
      </c>
      <c r="H59" s="659"/>
      <c r="I59" s="659"/>
      <c r="J59" s="659"/>
      <c r="K59" s="659"/>
      <c r="L59" s="660"/>
      <c r="M59" s="40"/>
      <c r="N59" s="40"/>
      <c r="O59" s="40"/>
      <c r="P59" s="40"/>
      <c r="Q59" s="21"/>
      <c r="R59" s="21"/>
      <c r="S59" s="21"/>
      <c r="T59" s="21"/>
      <c r="U59" s="21"/>
      <c r="V59" s="21"/>
      <c r="W59" s="21"/>
      <c r="X59" s="21"/>
    </row>
    <row r="60" spans="1:24" ht="63">
      <c r="A60" s="652"/>
      <c r="B60" s="653"/>
      <c r="C60" s="622"/>
      <c r="D60" s="622"/>
      <c r="E60" s="656"/>
      <c r="F60" s="657"/>
      <c r="G60" s="641" t="s">
        <v>151</v>
      </c>
      <c r="H60" s="641"/>
      <c r="I60" s="380" t="s">
        <v>508</v>
      </c>
      <c r="J60" s="366" t="s">
        <v>509</v>
      </c>
      <c r="K60" s="366" t="s">
        <v>153</v>
      </c>
      <c r="L60" s="366" t="s">
        <v>154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ht="15.75">
      <c r="A61" s="239">
        <v>1</v>
      </c>
      <c r="B61" s="239">
        <v>2</v>
      </c>
      <c r="C61" s="240">
        <v>3</v>
      </c>
      <c r="D61" s="240">
        <v>4</v>
      </c>
      <c r="E61" s="643">
        <v>5</v>
      </c>
      <c r="F61" s="644"/>
      <c r="G61" s="624">
        <v>6</v>
      </c>
      <c r="H61" s="624"/>
      <c r="I61" s="240">
        <v>7</v>
      </c>
      <c r="J61" s="240">
        <v>8</v>
      </c>
      <c r="K61" s="240">
        <v>9</v>
      </c>
      <c r="L61" s="240">
        <v>10</v>
      </c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226"/>
      <c r="X61" s="226"/>
    </row>
    <row r="62" spans="1:24" ht="46.5" customHeight="1">
      <c r="A62" s="381" t="s">
        <v>526</v>
      </c>
      <c r="B62" s="382" t="s">
        <v>510</v>
      </c>
      <c r="C62" s="306" t="s">
        <v>336</v>
      </c>
      <c r="D62" s="240" t="s">
        <v>301</v>
      </c>
      <c r="E62" s="645">
        <f>G62+I62+J62+K62+L62</f>
        <v>253.99999999999997</v>
      </c>
      <c r="F62" s="646"/>
      <c r="G62" s="647">
        <v>210.45</v>
      </c>
      <c r="H62" s="648"/>
      <c r="I62" s="96">
        <v>35.700000000000003</v>
      </c>
      <c r="J62" s="475">
        <v>7.85</v>
      </c>
      <c r="K62" s="475">
        <v>0</v>
      </c>
      <c r="L62" s="475">
        <f>'5.1. Інша інформація'!N73</f>
        <v>0</v>
      </c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</row>
    <row r="63" spans="1:24" ht="47.25">
      <c r="A63" s="381" t="s">
        <v>527</v>
      </c>
      <c r="B63" s="382" t="s">
        <v>510</v>
      </c>
      <c r="C63" s="306" t="s">
        <v>336</v>
      </c>
      <c r="D63" s="240" t="s">
        <v>301</v>
      </c>
      <c r="E63" s="645">
        <f>SUM(G63:L63)</f>
        <v>190.96705360000001</v>
      </c>
      <c r="F63" s="646"/>
      <c r="G63" s="649">
        <v>169.3</v>
      </c>
      <c r="H63" s="649"/>
      <c r="I63" s="481">
        <f>17759.88/1000</f>
        <v>17.759880000000003</v>
      </c>
      <c r="J63" s="481">
        <f>I63*0.22</f>
        <v>3.9071736000000006</v>
      </c>
      <c r="K63" s="482">
        <v>0</v>
      </c>
      <c r="L63" s="48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</row>
    <row r="64" spans="1:24">
      <c r="A64" s="650" t="s">
        <v>511</v>
      </c>
      <c r="B64" s="651"/>
      <c r="C64" s="651"/>
      <c r="D64" s="651"/>
      <c r="E64" s="651"/>
      <c r="F64" s="651"/>
      <c r="G64" s="651"/>
      <c r="H64" s="651"/>
      <c r="I64" s="651"/>
      <c r="J64" s="651"/>
      <c r="K64" s="651"/>
      <c r="L64" s="651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</row>
    <row r="65" spans="1:24">
      <c r="A65" s="652" t="s">
        <v>35</v>
      </c>
      <c r="B65" s="652" t="s">
        <v>155</v>
      </c>
      <c r="C65" s="624" t="s">
        <v>148</v>
      </c>
      <c r="D65" s="624" t="s">
        <v>226</v>
      </c>
      <c r="E65" s="624" t="s">
        <v>156</v>
      </c>
      <c r="F65" s="624" t="s">
        <v>157</v>
      </c>
      <c r="G65" s="624"/>
      <c r="H65" s="624"/>
      <c r="I65" s="624"/>
      <c r="J65" s="624"/>
      <c r="K65" s="624"/>
      <c r="L65" s="624"/>
      <c r="M65" s="40"/>
      <c r="N65" s="40"/>
      <c r="O65" s="40"/>
      <c r="P65" s="40"/>
      <c r="Q65" s="40"/>
      <c r="R65" s="40"/>
      <c r="S65" s="40"/>
      <c r="T65" s="40"/>
      <c r="U65" s="40"/>
      <c r="V65" s="21"/>
      <c r="W65" s="21"/>
      <c r="X65" s="21"/>
    </row>
    <row r="66" spans="1:24">
      <c r="A66" s="652"/>
      <c r="B66" s="652"/>
      <c r="C66" s="625"/>
      <c r="D66" s="625"/>
      <c r="E66" s="625"/>
      <c r="F66" s="624" t="s">
        <v>158</v>
      </c>
      <c r="G66" s="667" t="s">
        <v>505</v>
      </c>
      <c r="H66" s="668"/>
      <c r="I66" s="669"/>
      <c r="J66" s="624" t="s">
        <v>417</v>
      </c>
      <c r="K66" s="624" t="s">
        <v>418</v>
      </c>
      <c r="L66" s="624" t="s">
        <v>420</v>
      </c>
      <c r="M66" s="40"/>
      <c r="N66" s="40"/>
      <c r="O66" s="40"/>
      <c r="P66" s="40"/>
      <c r="Q66" s="40"/>
      <c r="R66" s="40"/>
      <c r="S66" s="40"/>
      <c r="T66" s="40"/>
      <c r="U66" s="40"/>
      <c r="V66" s="21"/>
      <c r="W66" s="21"/>
      <c r="X66" s="21"/>
    </row>
    <row r="67" spans="1:24">
      <c r="A67" s="652"/>
      <c r="B67" s="652"/>
      <c r="C67" s="625"/>
      <c r="D67" s="625"/>
      <c r="E67" s="625"/>
      <c r="F67" s="625"/>
      <c r="G67" s="670"/>
      <c r="H67" s="671"/>
      <c r="I67" s="672"/>
      <c r="J67" s="625"/>
      <c r="K67" s="625"/>
      <c r="L67" s="625"/>
      <c r="M67" s="40"/>
      <c r="N67" s="40"/>
      <c r="O67" s="40"/>
      <c r="P67" s="40"/>
      <c r="Q67" s="40"/>
      <c r="R67" s="40"/>
      <c r="S67" s="40"/>
      <c r="T67" s="40"/>
      <c r="U67" s="40"/>
      <c r="V67" s="21"/>
      <c r="W67" s="21"/>
      <c r="X67" s="21"/>
    </row>
    <row r="68" spans="1:24" ht="15.75">
      <c r="A68" s="239">
        <v>1</v>
      </c>
      <c r="B68" s="239">
        <v>2</v>
      </c>
      <c r="C68" s="240">
        <v>3</v>
      </c>
      <c r="D68" s="240">
        <v>4</v>
      </c>
      <c r="E68" s="240">
        <v>5</v>
      </c>
      <c r="F68" s="240">
        <v>6</v>
      </c>
      <c r="G68" s="643">
        <v>7</v>
      </c>
      <c r="H68" s="661"/>
      <c r="I68" s="644"/>
      <c r="J68" s="240">
        <v>8</v>
      </c>
      <c r="K68" s="240">
        <v>9</v>
      </c>
      <c r="L68" s="240">
        <v>10</v>
      </c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226"/>
    </row>
    <row r="69" spans="1:24" ht="15.75">
      <c r="A69" s="383"/>
      <c r="B69" s="381"/>
      <c r="C69" s="67"/>
      <c r="D69" s="67"/>
      <c r="E69" s="67"/>
      <c r="F69" s="384"/>
      <c r="G69" s="662"/>
      <c r="H69" s="663"/>
      <c r="I69" s="664"/>
      <c r="J69" s="384"/>
      <c r="K69" s="384"/>
      <c r="L69" s="384"/>
      <c r="M69" s="74"/>
      <c r="N69" s="74"/>
      <c r="O69" s="74"/>
      <c r="P69" s="74"/>
      <c r="Q69" s="385"/>
      <c r="R69" s="385"/>
      <c r="S69" s="385"/>
      <c r="T69" s="385"/>
      <c r="U69" s="385"/>
      <c r="V69" s="372"/>
      <c r="W69" s="372"/>
      <c r="X69" s="372"/>
    </row>
    <row r="70" spans="1:24" ht="15.75">
      <c r="A70" s="383"/>
      <c r="B70" s="381"/>
      <c r="C70" s="67"/>
      <c r="D70" s="67"/>
      <c r="E70" s="67"/>
      <c r="F70" s="384"/>
      <c r="G70" s="665"/>
      <c r="H70" s="665"/>
      <c r="I70" s="665"/>
      <c r="J70" s="384"/>
      <c r="K70" s="384"/>
      <c r="L70" s="384"/>
      <c r="M70" s="74"/>
      <c r="N70" s="74"/>
      <c r="O70" s="74"/>
      <c r="P70" s="74"/>
      <c r="Q70" s="385"/>
      <c r="R70" s="385"/>
      <c r="S70" s="385"/>
      <c r="T70" s="385"/>
      <c r="U70" s="385"/>
      <c r="V70" s="372"/>
      <c r="W70" s="372"/>
      <c r="X70" s="372"/>
    </row>
    <row r="71" spans="1:24" ht="15.75">
      <c r="A71" s="666" t="s">
        <v>237</v>
      </c>
      <c r="B71" s="666"/>
      <c r="C71" s="666"/>
      <c r="D71" s="666"/>
      <c r="E71" s="66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</row>
    <row r="72" spans="1:24" ht="18.75" customHeight="1">
      <c r="A72" s="624" t="s">
        <v>35</v>
      </c>
      <c r="B72" s="624" t="s">
        <v>176</v>
      </c>
      <c r="C72" s="624"/>
      <c r="D72" s="624"/>
      <c r="E72" s="694" t="s">
        <v>39</v>
      </c>
      <c r="F72" s="695"/>
      <c r="G72" s="695"/>
      <c r="H72" s="696"/>
      <c r="I72" s="694" t="s">
        <v>70</v>
      </c>
      <c r="J72" s="695"/>
      <c r="K72" s="695"/>
      <c r="L72" s="696"/>
      <c r="M72" s="673" t="s">
        <v>200</v>
      </c>
      <c r="N72" s="673"/>
      <c r="O72" s="673"/>
      <c r="P72" s="673"/>
      <c r="Q72" s="673" t="s">
        <v>103</v>
      </c>
      <c r="R72" s="673"/>
      <c r="S72" s="673"/>
      <c r="T72" s="673"/>
      <c r="U72" s="673" t="s">
        <v>40</v>
      </c>
      <c r="V72" s="673"/>
      <c r="W72" s="673"/>
      <c r="X72" s="673"/>
    </row>
    <row r="73" spans="1:24" ht="31.5">
      <c r="A73" s="677"/>
      <c r="B73" s="624"/>
      <c r="C73" s="624"/>
      <c r="D73" s="624"/>
      <c r="E73" s="402" t="s">
        <v>505</v>
      </c>
      <c r="F73" s="366" t="s">
        <v>415</v>
      </c>
      <c r="G73" s="366" t="s">
        <v>512</v>
      </c>
      <c r="H73" s="366" t="s">
        <v>420</v>
      </c>
      <c r="I73" s="399" t="s">
        <v>505</v>
      </c>
      <c r="J73" s="380" t="s">
        <v>417</v>
      </c>
      <c r="K73" s="366" t="s">
        <v>512</v>
      </c>
      <c r="L73" s="366" t="s">
        <v>420</v>
      </c>
      <c r="M73" s="366" t="s">
        <v>505</v>
      </c>
      <c r="N73" s="380" t="s">
        <v>417</v>
      </c>
      <c r="O73" s="366" t="s">
        <v>512</v>
      </c>
      <c r="P73" s="366" t="s">
        <v>420</v>
      </c>
      <c r="Q73" s="366" t="s">
        <v>505</v>
      </c>
      <c r="R73" s="380" t="s">
        <v>417</v>
      </c>
      <c r="S73" s="366" t="s">
        <v>512</v>
      </c>
      <c r="T73" s="366" t="s">
        <v>420</v>
      </c>
      <c r="U73" s="366" t="s">
        <v>505</v>
      </c>
      <c r="V73" s="380" t="s">
        <v>417</v>
      </c>
      <c r="W73" s="366" t="s">
        <v>512</v>
      </c>
      <c r="X73" s="366" t="s">
        <v>420</v>
      </c>
    </row>
    <row r="74" spans="1:24" ht="18.75" customHeight="1">
      <c r="A74" s="240">
        <v>1</v>
      </c>
      <c r="B74" s="624">
        <v>2</v>
      </c>
      <c r="C74" s="624"/>
      <c r="D74" s="624"/>
      <c r="E74" s="142">
        <v>3</v>
      </c>
      <c r="F74" s="246">
        <v>4</v>
      </c>
      <c r="G74" s="246">
        <v>5</v>
      </c>
      <c r="H74" s="246">
        <v>6</v>
      </c>
      <c r="I74" s="400">
        <v>7</v>
      </c>
      <c r="J74" s="246">
        <v>8</v>
      </c>
      <c r="K74" s="246">
        <v>9</v>
      </c>
      <c r="L74" s="246">
        <v>10</v>
      </c>
      <c r="M74" s="240">
        <v>11</v>
      </c>
      <c r="N74" s="240">
        <v>12</v>
      </c>
      <c r="O74" s="240">
        <v>13</v>
      </c>
      <c r="P74" s="240">
        <v>14</v>
      </c>
      <c r="Q74" s="240">
        <v>15</v>
      </c>
      <c r="R74" s="240">
        <v>16</v>
      </c>
      <c r="S74" s="240">
        <v>17</v>
      </c>
      <c r="T74" s="240">
        <v>18</v>
      </c>
      <c r="U74" s="240">
        <v>19</v>
      </c>
      <c r="V74" s="113">
        <v>20</v>
      </c>
      <c r="W74" s="113">
        <v>21</v>
      </c>
      <c r="X74" s="113">
        <v>22</v>
      </c>
    </row>
    <row r="75" spans="1:24" ht="37.5" customHeight="1">
      <c r="A75" s="295" t="s">
        <v>513</v>
      </c>
      <c r="B75" s="684" t="s">
        <v>449</v>
      </c>
      <c r="C75" s="684"/>
      <c r="D75" s="684"/>
      <c r="E75" s="403">
        <f>E76+E77+E78+E79</f>
        <v>0</v>
      </c>
      <c r="F75" s="403">
        <f>F76+F77+F78+F79</f>
        <v>0</v>
      </c>
      <c r="G75" s="387">
        <f>F75-E75</f>
        <v>0</v>
      </c>
      <c r="H75" s="440" t="e">
        <f>F75/E75*100</f>
        <v>#DIV/0!</v>
      </c>
      <c r="I75" s="403">
        <f>I76+I77+I78+I79+I80</f>
        <v>5163.8999999999996</v>
      </c>
      <c r="J75" s="403">
        <f>J76+J77+J78+J79+J80</f>
        <v>4218.8999999999996</v>
      </c>
      <c r="K75" s="387">
        <f>J75-I75</f>
        <v>-945</v>
      </c>
      <c r="L75" s="441">
        <f>J75/I75*100</f>
        <v>81.699877999186668</v>
      </c>
      <c r="M75" s="403">
        <f>M76+M77+M78+M79+M80</f>
        <v>0</v>
      </c>
      <c r="N75" s="403">
        <f>N76+N77+N78+N79+N80</f>
        <v>0</v>
      </c>
      <c r="O75" s="387">
        <f>N75-M75</f>
        <v>0</v>
      </c>
      <c r="P75" s="437">
        <v>0</v>
      </c>
      <c r="Q75" s="403">
        <f>Q76+Q77+Q78+Q79+Q80</f>
        <v>0</v>
      </c>
      <c r="R75" s="403">
        <f>R76+R77+R78+R79+R80</f>
        <v>0</v>
      </c>
      <c r="S75" s="387">
        <f>R75-Q75</f>
        <v>0</v>
      </c>
      <c r="T75" s="437">
        <v>0</v>
      </c>
      <c r="U75" s="387">
        <f>U76+U77+U78+U79+U80+U81+U82</f>
        <v>8733.9</v>
      </c>
      <c r="V75" s="387">
        <f>V76+V77+V78+V79+V80+V81+V82</f>
        <v>4218.8999999999996</v>
      </c>
      <c r="W75" s="387">
        <f>V75-U75</f>
        <v>-4515</v>
      </c>
      <c r="X75" s="387">
        <f t="shared" ref="X75:X76" si="3">V75/U75*100</f>
        <v>48.304880981005049</v>
      </c>
    </row>
    <row r="76" spans="1:24" ht="30.75" customHeight="1">
      <c r="A76" s="389" t="s">
        <v>521</v>
      </c>
      <c r="B76" s="678" t="str">
        <f>'4.Кап. інвестиції'!A10</f>
        <v>Придбання автомобіля сміттєвоза ВЛІВ Міні Б</v>
      </c>
      <c r="C76" s="679"/>
      <c r="D76" s="680"/>
      <c r="E76" s="388"/>
      <c r="F76" s="389"/>
      <c r="G76" s="389"/>
      <c r="H76" s="291"/>
      <c r="I76" s="390">
        <f>'4.Кап. інвестиції'!C10</f>
        <v>1746</v>
      </c>
      <c r="J76" s="390">
        <f>'4.Кап. інвестиції'!D10</f>
        <v>1746</v>
      </c>
      <c r="K76" s="390">
        <f>J76-I76</f>
        <v>0</v>
      </c>
      <c r="L76" s="437">
        <f t="shared" ref="L76:L82" si="4">J76/I76*100</f>
        <v>100</v>
      </c>
      <c r="M76" s="291">
        <f>'5.1. Інша інформація'!R90</f>
        <v>0</v>
      </c>
      <c r="N76" s="291">
        <v>0</v>
      </c>
      <c r="O76" s="387">
        <f t="shared" ref="O76:O77" si="5">N76-M76</f>
        <v>0</v>
      </c>
      <c r="P76" s="437">
        <v>0</v>
      </c>
      <c r="Q76" s="291">
        <f>'5.1. Інша інформація'!W90</f>
        <v>0</v>
      </c>
      <c r="R76" s="291"/>
      <c r="S76" s="387">
        <f t="shared" ref="S76:S77" si="6">R76-Q76</f>
        <v>0</v>
      </c>
      <c r="T76" s="437">
        <f>0</f>
        <v>0</v>
      </c>
      <c r="U76" s="291">
        <f>E76+I76+M76+Q76</f>
        <v>1746</v>
      </c>
      <c r="V76" s="291">
        <f>F76+J76+N76+R76</f>
        <v>1746</v>
      </c>
      <c r="W76" s="390">
        <f t="shared" ref="W76:W85" si="7">V76-U76</f>
        <v>0</v>
      </c>
      <c r="X76" s="390">
        <f t="shared" si="3"/>
        <v>100</v>
      </c>
    </row>
    <row r="77" spans="1:24" ht="53.25" customHeight="1">
      <c r="A77" s="389" t="s">
        <v>522</v>
      </c>
      <c r="B77" s="678" t="str">
        <f>'4.Кап. інвестиції'!A11</f>
        <v xml:space="preserve">Придбання 50 контейнерів для збирання твердих побутових відходів 1,1м3 на кладовище міста </v>
      </c>
      <c r="C77" s="679"/>
      <c r="D77" s="680"/>
      <c r="E77" s="388"/>
      <c r="F77" s="389"/>
      <c r="G77" s="389"/>
      <c r="H77" s="291"/>
      <c r="I77" s="390">
        <f>'4.Кап. інвестиції'!C11</f>
        <v>474.9</v>
      </c>
      <c r="J77" s="390">
        <f>'4.Кап. інвестиції'!D11</f>
        <v>474.9</v>
      </c>
      <c r="K77" s="390">
        <f t="shared" ref="K77:K85" si="8">J77-I77</f>
        <v>0</v>
      </c>
      <c r="L77" s="437">
        <f t="shared" si="4"/>
        <v>100</v>
      </c>
      <c r="M77" s="291">
        <f>'5.1. Інша інформація'!R87</f>
        <v>0</v>
      </c>
      <c r="N77" s="390">
        <v>0</v>
      </c>
      <c r="O77" s="387">
        <f t="shared" si="5"/>
        <v>0</v>
      </c>
      <c r="P77" s="437">
        <v>0</v>
      </c>
      <c r="Q77" s="291">
        <f>'5.1. Інша інформація'!W87</f>
        <v>0</v>
      </c>
      <c r="R77" s="291"/>
      <c r="S77" s="387">
        <f t="shared" si="6"/>
        <v>0</v>
      </c>
      <c r="T77" s="437">
        <f>0</f>
        <v>0</v>
      </c>
      <c r="U77" s="291">
        <f t="shared" ref="U77:V83" si="9">E77+I77+M77+Q77</f>
        <v>474.9</v>
      </c>
      <c r="V77" s="291">
        <f>F77+J77+N77+R77</f>
        <v>474.9</v>
      </c>
      <c r="W77" s="390">
        <f t="shared" si="7"/>
        <v>0</v>
      </c>
      <c r="X77" s="390">
        <f>V77/U77*100</f>
        <v>100</v>
      </c>
    </row>
    <row r="78" spans="1:24" ht="33.75" customHeight="1">
      <c r="A78" s="389" t="s">
        <v>523</v>
      </c>
      <c r="B78" s="678" t="str">
        <f>'4.Кап. інвестиції'!A12</f>
        <v xml:space="preserve">Придбання   автобуса  марки "АТАМАН" </v>
      </c>
      <c r="C78" s="679"/>
      <c r="D78" s="680"/>
      <c r="E78" s="388"/>
      <c r="F78" s="389"/>
      <c r="G78" s="389"/>
      <c r="H78" s="291"/>
      <c r="I78" s="390">
        <f>'4.Кап. інвестиції'!C12</f>
        <v>1998</v>
      </c>
      <c r="J78" s="390">
        <f>'4.Кап. інвестиції'!D12</f>
        <v>1998</v>
      </c>
      <c r="K78" s="390">
        <f t="shared" si="8"/>
        <v>0</v>
      </c>
      <c r="L78" s="437">
        <f t="shared" si="4"/>
        <v>100</v>
      </c>
      <c r="M78" s="390"/>
      <c r="N78" s="390"/>
      <c r="O78" s="390"/>
      <c r="P78" s="437">
        <v>0</v>
      </c>
      <c r="Q78" s="291"/>
      <c r="R78" s="291"/>
      <c r="S78" s="291"/>
      <c r="T78" s="437">
        <f>0</f>
        <v>0</v>
      </c>
      <c r="U78" s="291">
        <f t="shared" si="9"/>
        <v>1998</v>
      </c>
      <c r="V78" s="291">
        <f t="shared" ref="V78:V79" si="10">F78+J78+N78+R78</f>
        <v>1998</v>
      </c>
      <c r="W78" s="390">
        <f t="shared" ref="W78:W79" si="11">V78-U78</f>
        <v>0</v>
      </c>
      <c r="X78" s="390">
        <f t="shared" ref="X78:X79" si="12">V78/U78*100</f>
        <v>100</v>
      </c>
    </row>
    <row r="79" spans="1:24" ht="97.5" customHeight="1">
      <c r="A79" s="389" t="s">
        <v>524</v>
      </c>
      <c r="B79" s="681" t="str">
        <f>'4.Кап. інвестиції'!A13</f>
        <v>Придбання   автомобіля (автомобіля вантажопасажирського)марки FORD TRANSIT Y363 Kombi          для транспортування до моргу померлих на судмедекспертизу</v>
      </c>
      <c r="C79" s="682"/>
      <c r="D79" s="683"/>
      <c r="E79" s="388"/>
      <c r="F79" s="389"/>
      <c r="G79" s="389"/>
      <c r="H79" s="291"/>
      <c r="I79" s="390">
        <f>'4.Кап. інвестиції'!C13</f>
        <v>945</v>
      </c>
      <c r="J79" s="390">
        <f>'4.Кап. інвестиції'!D13</f>
        <v>0</v>
      </c>
      <c r="K79" s="390">
        <f t="shared" si="8"/>
        <v>-945</v>
      </c>
      <c r="L79" s="437">
        <f t="shared" si="4"/>
        <v>0</v>
      </c>
      <c r="M79" s="390"/>
      <c r="N79" s="390"/>
      <c r="O79" s="390"/>
      <c r="P79" s="437">
        <v>0</v>
      </c>
      <c r="Q79" s="291"/>
      <c r="R79" s="291"/>
      <c r="S79" s="291"/>
      <c r="T79" s="437">
        <f>0</f>
        <v>0</v>
      </c>
      <c r="U79" s="291">
        <f t="shared" si="9"/>
        <v>945</v>
      </c>
      <c r="V79" s="291">
        <f t="shared" si="10"/>
        <v>0</v>
      </c>
      <c r="W79" s="390">
        <f t="shared" si="11"/>
        <v>-945</v>
      </c>
      <c r="X79" s="390">
        <f t="shared" si="12"/>
        <v>0</v>
      </c>
    </row>
    <row r="80" spans="1:24" ht="48.75" customHeight="1">
      <c r="A80" s="389" t="s">
        <v>550</v>
      </c>
      <c r="B80" s="678" t="str">
        <f>'4.Кап. інвестиції'!A14</f>
        <v>Придбання автомобіля МАЗ 437№2Супер Міні( для вивезення сміття з кладовищ міста)</v>
      </c>
      <c r="C80" s="679"/>
      <c r="D80" s="680"/>
      <c r="E80" s="388"/>
      <c r="F80" s="389"/>
      <c r="G80" s="389"/>
      <c r="H80" s="291"/>
      <c r="I80" s="390">
        <f>'4.Кап. інвестиції'!C14</f>
        <v>0</v>
      </c>
      <c r="J80" s="390">
        <f>'4.Кап. інвестиції'!D14</f>
        <v>0</v>
      </c>
      <c r="K80" s="390">
        <f t="shared" si="8"/>
        <v>0</v>
      </c>
      <c r="L80" s="437">
        <v>0</v>
      </c>
      <c r="M80" s="390"/>
      <c r="N80" s="390"/>
      <c r="O80" s="390"/>
      <c r="P80" s="437">
        <v>0</v>
      </c>
      <c r="Q80" s="291"/>
      <c r="R80" s="291"/>
      <c r="S80" s="291"/>
      <c r="T80" s="437">
        <f>0</f>
        <v>0</v>
      </c>
      <c r="U80" s="291">
        <f t="shared" si="9"/>
        <v>0</v>
      </c>
      <c r="V80" s="291">
        <f t="shared" si="9"/>
        <v>0</v>
      </c>
      <c r="W80" s="390">
        <f t="shared" ref="W80:W83" si="13">V80-U80</f>
        <v>0</v>
      </c>
      <c r="X80" s="390">
        <v>0</v>
      </c>
    </row>
    <row r="81" spans="1:24" ht="36.75" customHeight="1">
      <c r="A81" s="389" t="s">
        <v>551</v>
      </c>
      <c r="B81" s="678" t="str">
        <f>'4.Кап. інвестиції'!A15</f>
        <v>Екскаватор - навантажувач "Катерпіллар"</v>
      </c>
      <c r="C81" s="679"/>
      <c r="D81" s="680"/>
      <c r="E81" s="388"/>
      <c r="F81" s="389"/>
      <c r="G81" s="389"/>
      <c r="H81" s="291"/>
      <c r="I81" s="390">
        <f>'4.Кап. інвестиції'!C15</f>
        <v>1890</v>
      </c>
      <c r="J81" s="390">
        <f>'4.Кап. інвестиції'!D15</f>
        <v>0</v>
      </c>
      <c r="K81" s="390">
        <f t="shared" si="8"/>
        <v>-1890</v>
      </c>
      <c r="L81" s="437">
        <f t="shared" si="4"/>
        <v>0</v>
      </c>
      <c r="M81" s="390"/>
      <c r="N81" s="390"/>
      <c r="O81" s="390"/>
      <c r="P81" s="437"/>
      <c r="Q81" s="291"/>
      <c r="R81" s="291"/>
      <c r="S81" s="291"/>
      <c r="T81" s="404"/>
      <c r="U81" s="291">
        <f t="shared" si="9"/>
        <v>1890</v>
      </c>
      <c r="V81" s="291">
        <f t="shared" si="9"/>
        <v>0</v>
      </c>
      <c r="W81" s="390">
        <f t="shared" si="13"/>
        <v>-1890</v>
      </c>
      <c r="X81" s="390">
        <f>V81/U81*100</f>
        <v>0</v>
      </c>
    </row>
    <row r="82" spans="1:24" ht="56.25" customHeight="1">
      <c r="A82" s="389" t="s">
        <v>552</v>
      </c>
      <c r="B82" s="678" t="str">
        <f>'4.Кап. інвестиції'!A16</f>
        <v>Мікроавтобус для транспортування до моргу померлих на судмедекспертизу</v>
      </c>
      <c r="C82" s="679"/>
      <c r="D82" s="680"/>
      <c r="E82" s="388"/>
      <c r="F82" s="389"/>
      <c r="G82" s="389"/>
      <c r="H82" s="291"/>
      <c r="I82" s="390">
        <f>'4.Кап. інвестиції'!C16</f>
        <v>1680</v>
      </c>
      <c r="J82" s="390">
        <f>'4.Кап. інвестиції'!D16</f>
        <v>0</v>
      </c>
      <c r="K82" s="390">
        <f t="shared" si="8"/>
        <v>-1680</v>
      </c>
      <c r="L82" s="437">
        <f t="shared" si="4"/>
        <v>0</v>
      </c>
      <c r="M82" s="390"/>
      <c r="N82" s="390"/>
      <c r="O82" s="390"/>
      <c r="P82" s="404"/>
      <c r="Q82" s="291"/>
      <c r="R82" s="291"/>
      <c r="S82" s="291"/>
      <c r="T82" s="404"/>
      <c r="U82" s="291">
        <f t="shared" si="9"/>
        <v>1680</v>
      </c>
      <c r="V82" s="291">
        <f t="shared" si="9"/>
        <v>0</v>
      </c>
      <c r="W82" s="390">
        <f t="shared" si="13"/>
        <v>-1680</v>
      </c>
      <c r="X82" s="390">
        <f t="shared" ref="X82" si="14">V82/U82*100</f>
        <v>0</v>
      </c>
    </row>
    <row r="83" spans="1:24" ht="36.75" customHeight="1">
      <c r="A83" s="291" t="s">
        <v>514</v>
      </c>
      <c r="B83" s="685" t="s">
        <v>515</v>
      </c>
      <c r="C83" s="686"/>
      <c r="D83" s="687"/>
      <c r="E83" s="388"/>
      <c r="F83" s="389"/>
      <c r="G83" s="389"/>
      <c r="H83" s="291"/>
      <c r="I83" s="401">
        <v>0</v>
      </c>
      <c r="J83" s="390">
        <v>0</v>
      </c>
      <c r="K83" s="390">
        <f t="shared" si="8"/>
        <v>0</v>
      </c>
      <c r="L83" s="291">
        <v>0</v>
      </c>
      <c r="M83" s="291">
        <v>0</v>
      </c>
      <c r="N83" s="291">
        <v>0</v>
      </c>
      <c r="O83" s="291">
        <v>0</v>
      </c>
      <c r="P83" s="291">
        <v>0</v>
      </c>
      <c r="Q83" s="291"/>
      <c r="R83" s="291"/>
      <c r="S83" s="291"/>
      <c r="T83" s="291"/>
      <c r="U83" s="291">
        <f t="shared" si="9"/>
        <v>0</v>
      </c>
      <c r="V83" s="291">
        <f t="shared" si="9"/>
        <v>0</v>
      </c>
      <c r="W83" s="390">
        <f t="shared" si="13"/>
        <v>0</v>
      </c>
      <c r="X83" s="390">
        <v>0</v>
      </c>
    </row>
    <row r="84" spans="1:24" ht="18.75" customHeight="1">
      <c r="A84" s="58" t="s">
        <v>40</v>
      </c>
      <c r="B84" s="629"/>
      <c r="C84" s="629"/>
      <c r="D84" s="629"/>
      <c r="E84" s="391">
        <v>0</v>
      </c>
      <c r="F84" s="291">
        <v>0</v>
      </c>
      <c r="G84" s="292"/>
      <c r="H84" s="291"/>
      <c r="I84" s="403">
        <f>SUM(I76:I82)</f>
        <v>8733.9</v>
      </c>
      <c r="J84" s="403">
        <f>SUM(J76:J82)</f>
        <v>4218.8999999999996</v>
      </c>
      <c r="K84" s="403">
        <f>SUM(K76:K82)</f>
        <v>-4515</v>
      </c>
      <c r="L84" s="387">
        <v>0</v>
      </c>
      <c r="M84" s="295">
        <v>0</v>
      </c>
      <c r="N84" s="295">
        <v>0</v>
      </c>
      <c r="O84" s="295">
        <f>N84-M84</f>
        <v>0</v>
      </c>
      <c r="P84" s="387">
        <v>0</v>
      </c>
      <c r="Q84" s="295"/>
      <c r="R84" s="295"/>
      <c r="S84" s="295"/>
      <c r="T84" s="295"/>
      <c r="U84" s="387">
        <f>U75</f>
        <v>8733.9</v>
      </c>
      <c r="V84" s="387">
        <f>V75</f>
        <v>4218.8999999999996</v>
      </c>
      <c r="W84" s="387">
        <f t="shared" si="7"/>
        <v>-4515</v>
      </c>
      <c r="X84" s="387">
        <f t="shared" ref="X84" si="15">V84/U84*100</f>
        <v>48.304880981005049</v>
      </c>
    </row>
    <row r="85" spans="1:24" ht="18.75" customHeight="1">
      <c r="A85" s="58" t="s">
        <v>41</v>
      </c>
      <c r="B85" s="629"/>
      <c r="C85" s="629"/>
      <c r="D85" s="629"/>
      <c r="E85" s="392"/>
      <c r="F85" s="58"/>
      <c r="G85" s="285"/>
      <c r="H85" s="58"/>
      <c r="I85" s="401">
        <v>100</v>
      </c>
      <c r="J85" s="390">
        <f>J84/I84*100</f>
        <v>48.304880981005049</v>
      </c>
      <c r="K85" s="390">
        <f t="shared" si="8"/>
        <v>-51.695119018994951</v>
      </c>
      <c r="L85" s="291"/>
      <c r="M85" s="291">
        <v>0</v>
      </c>
      <c r="N85" s="390">
        <v>0</v>
      </c>
      <c r="O85" s="390"/>
      <c r="P85" s="291"/>
      <c r="Q85" s="291"/>
      <c r="R85" s="291"/>
      <c r="S85" s="291"/>
      <c r="T85" s="291"/>
      <c r="U85" s="401">
        <v>100</v>
      </c>
      <c r="V85" s="390">
        <f>V84/U84*100</f>
        <v>48.304880981005049</v>
      </c>
      <c r="W85" s="390">
        <f t="shared" si="7"/>
        <v>-51.695119018994951</v>
      </c>
      <c r="X85" s="390"/>
    </row>
    <row r="87" spans="1:24">
      <c r="A87" s="393" t="s">
        <v>258</v>
      </c>
      <c r="B87" s="232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4">
      <c r="A88" s="673" t="s">
        <v>35</v>
      </c>
      <c r="B88" s="621" t="s">
        <v>262</v>
      </c>
      <c r="C88" s="674" t="s">
        <v>263</v>
      </c>
      <c r="D88" s="674" t="s">
        <v>264</v>
      </c>
      <c r="E88" s="674" t="s">
        <v>259</v>
      </c>
      <c r="F88" s="674" t="s">
        <v>260</v>
      </c>
      <c r="G88" s="658" t="s">
        <v>107</v>
      </c>
      <c r="H88" s="659"/>
      <c r="I88" s="659"/>
      <c r="J88" s="659"/>
      <c r="K88" s="659"/>
      <c r="L88" s="659"/>
      <c r="M88" s="660"/>
      <c r="N88" s="621" t="s">
        <v>516</v>
      </c>
      <c r="O88" s="621"/>
      <c r="P88" s="621"/>
      <c r="Q88" s="621"/>
      <c r="R88" s="621" t="s">
        <v>266</v>
      </c>
      <c r="S88" s="621"/>
      <c r="T88" s="621"/>
      <c r="U88" s="21"/>
      <c r="V88" s="21"/>
      <c r="W88" s="21"/>
    </row>
    <row r="89" spans="1:24">
      <c r="A89" s="673"/>
      <c r="B89" s="621"/>
      <c r="C89" s="675"/>
      <c r="D89" s="675"/>
      <c r="E89" s="675"/>
      <c r="F89" s="675"/>
      <c r="G89" s="654" t="s">
        <v>261</v>
      </c>
      <c r="H89" s="699"/>
      <c r="I89" s="655"/>
      <c r="J89" s="674" t="s">
        <v>267</v>
      </c>
      <c r="K89" s="658" t="s">
        <v>270</v>
      </c>
      <c r="L89" s="701"/>
      <c r="M89" s="702"/>
      <c r="N89" s="621"/>
      <c r="O89" s="621"/>
      <c r="P89" s="621"/>
      <c r="Q89" s="621"/>
      <c r="R89" s="621"/>
      <c r="S89" s="621"/>
      <c r="T89" s="621"/>
      <c r="U89" s="21"/>
      <c r="V89" s="21"/>
      <c r="W89" s="21"/>
    </row>
    <row r="90" spans="1:24" ht="94.5">
      <c r="A90" s="673"/>
      <c r="B90" s="621"/>
      <c r="C90" s="676"/>
      <c r="D90" s="676"/>
      <c r="E90" s="676"/>
      <c r="F90" s="676"/>
      <c r="G90" s="656"/>
      <c r="H90" s="700"/>
      <c r="I90" s="657"/>
      <c r="J90" s="676"/>
      <c r="K90" s="394" t="s">
        <v>268</v>
      </c>
      <c r="L90" s="366" t="s">
        <v>269</v>
      </c>
      <c r="M90" s="366" t="s">
        <v>517</v>
      </c>
      <c r="N90" s="621"/>
      <c r="O90" s="621"/>
      <c r="P90" s="621"/>
      <c r="Q90" s="621"/>
      <c r="R90" s="621"/>
      <c r="S90" s="621"/>
      <c r="T90" s="621"/>
      <c r="U90" s="21"/>
      <c r="V90" s="21"/>
      <c r="W90" s="21"/>
    </row>
    <row r="91" spans="1:24">
      <c r="A91" s="113">
        <v>1</v>
      </c>
      <c r="B91" s="240">
        <v>2</v>
      </c>
      <c r="C91" s="240">
        <v>3</v>
      </c>
      <c r="D91" s="240">
        <v>4</v>
      </c>
      <c r="E91" s="240">
        <v>5</v>
      </c>
      <c r="F91" s="240">
        <v>6</v>
      </c>
      <c r="G91" s="643">
        <v>7</v>
      </c>
      <c r="H91" s="661"/>
      <c r="I91" s="644"/>
      <c r="J91" s="240">
        <v>8</v>
      </c>
      <c r="K91" s="240">
        <v>9</v>
      </c>
      <c r="L91" s="240">
        <v>10</v>
      </c>
      <c r="M91" s="240">
        <v>11</v>
      </c>
      <c r="N91" s="697">
        <v>12</v>
      </c>
      <c r="O91" s="697"/>
      <c r="P91" s="697"/>
      <c r="Q91" s="697"/>
      <c r="R91" s="694">
        <v>13</v>
      </c>
      <c r="S91" s="695"/>
      <c r="T91" s="696"/>
      <c r="V91" s="233"/>
      <c r="W91" s="233"/>
      <c r="X91" s="233"/>
    </row>
    <row r="92" spans="1:24">
      <c r="A92" s="58"/>
      <c r="B92" s="285"/>
      <c r="C92" s="58"/>
      <c r="D92" s="58"/>
      <c r="E92" s="58"/>
      <c r="F92" s="58"/>
      <c r="G92" s="688"/>
      <c r="H92" s="689"/>
      <c r="I92" s="690"/>
      <c r="J92" s="58"/>
      <c r="K92" s="58"/>
      <c r="L92" s="58"/>
      <c r="M92" s="58"/>
      <c r="N92" s="698"/>
      <c r="O92" s="692"/>
      <c r="P92" s="692"/>
      <c r="Q92" s="693"/>
      <c r="R92" s="691"/>
      <c r="S92" s="692"/>
      <c r="T92" s="693"/>
      <c r="V92" s="233"/>
      <c r="W92" s="233"/>
      <c r="X92" s="233"/>
    </row>
    <row r="93" spans="1:24">
      <c r="A93" s="58"/>
      <c r="B93" s="285"/>
      <c r="C93" s="58"/>
      <c r="D93" s="58"/>
      <c r="E93" s="58"/>
      <c r="F93" s="58"/>
      <c r="G93" s="688"/>
      <c r="H93" s="689"/>
      <c r="I93" s="690"/>
      <c r="J93" s="58"/>
      <c r="K93" s="58"/>
      <c r="L93" s="58"/>
      <c r="M93" s="58"/>
      <c r="N93" s="691"/>
      <c r="O93" s="692"/>
      <c r="P93" s="692"/>
      <c r="Q93" s="693"/>
      <c r="R93" s="691"/>
      <c r="S93" s="692"/>
      <c r="T93" s="693"/>
    </row>
    <row r="95" spans="1:24">
      <c r="B95" s="395" t="s">
        <v>518</v>
      </c>
      <c r="C95" s="343"/>
      <c r="D95" s="396"/>
      <c r="E95" s="396"/>
      <c r="F95" s="343"/>
      <c r="G95" s="343"/>
      <c r="H95" s="343"/>
      <c r="I95" s="343"/>
      <c r="J95" s="343"/>
      <c r="K95" s="396"/>
      <c r="L95" s="343" t="s">
        <v>519</v>
      </c>
      <c r="M95" s="343"/>
      <c r="N95" s="22"/>
    </row>
    <row r="96" spans="1:24">
      <c r="B96" s="243" t="s">
        <v>61</v>
      </c>
      <c r="C96" s="397"/>
      <c r="D96" s="397"/>
      <c r="E96" s="397"/>
      <c r="F96" s="397"/>
      <c r="G96" s="397" t="s">
        <v>62</v>
      </c>
      <c r="H96" s="397"/>
      <c r="I96" s="397"/>
      <c r="J96" s="397"/>
      <c r="K96" s="397"/>
      <c r="L96" s="397" t="s">
        <v>520</v>
      </c>
      <c r="M96" s="397"/>
      <c r="N96" s="397"/>
    </row>
  </sheetData>
  <mergeCells count="163">
    <mergeCell ref="G93:I93"/>
    <mergeCell ref="N93:Q93"/>
    <mergeCell ref="R93:T93"/>
    <mergeCell ref="I72:L72"/>
    <mergeCell ref="G91:I91"/>
    <mergeCell ref="N91:Q91"/>
    <mergeCell ref="R91:T91"/>
    <mergeCell ref="G92:I92"/>
    <mergeCell ref="N92:Q92"/>
    <mergeCell ref="R92:T92"/>
    <mergeCell ref="G88:M88"/>
    <mergeCell ref="N88:Q90"/>
    <mergeCell ref="R88:T90"/>
    <mergeCell ref="G89:I90"/>
    <mergeCell ref="J89:J90"/>
    <mergeCell ref="K89:M89"/>
    <mergeCell ref="E72:H72"/>
    <mergeCell ref="A88:A90"/>
    <mergeCell ref="B88:B90"/>
    <mergeCell ref="C88:C90"/>
    <mergeCell ref="D88:D90"/>
    <mergeCell ref="E88:E90"/>
    <mergeCell ref="F88:F90"/>
    <mergeCell ref="U72:X72"/>
    <mergeCell ref="A72:A73"/>
    <mergeCell ref="M72:P72"/>
    <mergeCell ref="Q72:T72"/>
    <mergeCell ref="B72:D73"/>
    <mergeCell ref="B84:D84"/>
    <mergeCell ref="B85:D85"/>
    <mergeCell ref="B78:D78"/>
    <mergeCell ref="B79:D79"/>
    <mergeCell ref="B75:D75"/>
    <mergeCell ref="B76:D76"/>
    <mergeCell ref="B74:D74"/>
    <mergeCell ref="B77:D77"/>
    <mergeCell ref="B83:D83"/>
    <mergeCell ref="B80:D80"/>
    <mergeCell ref="B81:D81"/>
    <mergeCell ref="B82:D82"/>
    <mergeCell ref="K66:K67"/>
    <mergeCell ref="L66:L67"/>
    <mergeCell ref="G68:I68"/>
    <mergeCell ref="G69:I69"/>
    <mergeCell ref="G70:I70"/>
    <mergeCell ref="A71:E71"/>
    <mergeCell ref="A64:L64"/>
    <mergeCell ref="A65:A67"/>
    <mergeCell ref="B65:B67"/>
    <mergeCell ref="C65:C67"/>
    <mergeCell ref="D65:D67"/>
    <mergeCell ref="E65:E67"/>
    <mergeCell ref="F65:L65"/>
    <mergeCell ref="F66:F67"/>
    <mergeCell ref="G66:I67"/>
    <mergeCell ref="J66:J67"/>
    <mergeCell ref="E61:F61"/>
    <mergeCell ref="G61:H61"/>
    <mergeCell ref="E62:F62"/>
    <mergeCell ref="G62:H62"/>
    <mergeCell ref="E63:F63"/>
    <mergeCell ref="G63:H63"/>
    <mergeCell ref="A58:L58"/>
    <mergeCell ref="A59:A60"/>
    <mergeCell ref="B59:B60"/>
    <mergeCell ref="C59:C60"/>
    <mergeCell ref="D59:D60"/>
    <mergeCell ref="E59:F60"/>
    <mergeCell ref="G59:L59"/>
    <mergeCell ref="G60:H60"/>
    <mergeCell ref="A42:G42"/>
    <mergeCell ref="A48:G48"/>
    <mergeCell ref="A49:A50"/>
    <mergeCell ref="B49:B50"/>
    <mergeCell ref="C49:D49"/>
    <mergeCell ref="E49:F49"/>
    <mergeCell ref="G49:G50"/>
    <mergeCell ref="D32:E32"/>
    <mergeCell ref="F32:G32"/>
    <mergeCell ref="N32:O32"/>
    <mergeCell ref="A34:H34"/>
    <mergeCell ref="A35:A36"/>
    <mergeCell ref="B35:C35"/>
    <mergeCell ref="D35:E35"/>
    <mergeCell ref="F35:G35"/>
    <mergeCell ref="D30:E30"/>
    <mergeCell ref="F30:G30"/>
    <mergeCell ref="N30:O30"/>
    <mergeCell ref="D31:E31"/>
    <mergeCell ref="F31:G31"/>
    <mergeCell ref="N31:O31"/>
    <mergeCell ref="D28:E28"/>
    <mergeCell ref="F28:G28"/>
    <mergeCell ref="N28:O28"/>
    <mergeCell ref="D29:E29"/>
    <mergeCell ref="F29:G29"/>
    <mergeCell ref="N29:O29"/>
    <mergeCell ref="D26:E26"/>
    <mergeCell ref="F26:G26"/>
    <mergeCell ref="N26:O26"/>
    <mergeCell ref="D27:E27"/>
    <mergeCell ref="F27:G27"/>
    <mergeCell ref="N27:O27"/>
    <mergeCell ref="D24:E24"/>
    <mergeCell ref="F24:G24"/>
    <mergeCell ref="N24:O24"/>
    <mergeCell ref="D25:E25"/>
    <mergeCell ref="F25:G25"/>
    <mergeCell ref="N25:O25"/>
    <mergeCell ref="D22:E22"/>
    <mergeCell ref="F22:G22"/>
    <mergeCell ref="N22:O22"/>
    <mergeCell ref="D23:E23"/>
    <mergeCell ref="F23:G23"/>
    <mergeCell ref="N23:O23"/>
    <mergeCell ref="D20:E20"/>
    <mergeCell ref="F20:G20"/>
    <mergeCell ref="N20:O20"/>
    <mergeCell ref="D21:E21"/>
    <mergeCell ref="F21:G21"/>
    <mergeCell ref="N21:O21"/>
    <mergeCell ref="D18:E18"/>
    <mergeCell ref="F18:G18"/>
    <mergeCell ref="N18:O18"/>
    <mergeCell ref="D19:E19"/>
    <mergeCell ref="F19:G19"/>
    <mergeCell ref="N19:O19"/>
    <mergeCell ref="D16:E16"/>
    <mergeCell ref="F16:G16"/>
    <mergeCell ref="N16:O16"/>
    <mergeCell ref="D17:E17"/>
    <mergeCell ref="F17:G17"/>
    <mergeCell ref="N17:O17"/>
    <mergeCell ref="D14:E14"/>
    <mergeCell ref="F14:G14"/>
    <mergeCell ref="N14:O14"/>
    <mergeCell ref="D15:E15"/>
    <mergeCell ref="F15:G15"/>
    <mergeCell ref="N15:O15"/>
    <mergeCell ref="D12:E12"/>
    <mergeCell ref="F12:G12"/>
    <mergeCell ref="N12:O12"/>
    <mergeCell ref="D13:E13"/>
    <mergeCell ref="F13:G13"/>
    <mergeCell ref="N13:O13"/>
    <mergeCell ref="D10:E10"/>
    <mergeCell ref="F10:G10"/>
    <mergeCell ref="N10:O10"/>
    <mergeCell ref="D11:E11"/>
    <mergeCell ref="F11:G11"/>
    <mergeCell ref="N11:O11"/>
    <mergeCell ref="D8:E8"/>
    <mergeCell ref="F8:G8"/>
    <mergeCell ref="N8:O8"/>
    <mergeCell ref="D9:E9"/>
    <mergeCell ref="F9:G9"/>
    <mergeCell ref="N9:O9"/>
    <mergeCell ref="A2:G2"/>
    <mergeCell ref="A3:G3"/>
    <mergeCell ref="A4:G4"/>
    <mergeCell ref="A5:G5"/>
    <mergeCell ref="A6:G6"/>
    <mergeCell ref="A7:G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1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0. Фінплан-зведені показники</vt:lpstr>
      <vt:lpstr>0.1.Фінплан - зведені показники</vt:lpstr>
      <vt:lpstr>1.Фінансовий результат</vt:lpstr>
      <vt:lpstr>1.1.Фінансовий результат</vt:lpstr>
      <vt:lpstr>2.Розрахунки з бюджетом</vt:lpstr>
      <vt:lpstr>2.1Розрахунки з бюджетом</vt:lpstr>
      <vt:lpstr>3.Рух грошових коштів</vt:lpstr>
      <vt:lpstr>4.Кап. інвестиції</vt:lpstr>
      <vt:lpstr>5. Інша інформація</vt:lpstr>
      <vt:lpstr>6. Кофіцієнти</vt:lpstr>
      <vt:lpstr>3.1.Рух грошових коштів</vt:lpstr>
      <vt:lpstr>4.1.Кап. інвестиції</vt:lpstr>
      <vt:lpstr>5.1. Інша інформація</vt:lpstr>
      <vt:lpstr>Лист1</vt:lpstr>
      <vt:lpstr>'0.1.Фінплан - зведені показники'!Заголовки_для_печати</vt:lpstr>
      <vt:lpstr>'1.1.Фінансовий результат'!Заголовки_для_печати</vt:lpstr>
      <vt:lpstr>'2.1Розрахунки з бюджетом'!Заголовки_для_печати</vt:lpstr>
      <vt:lpstr>'3.1.Рух грошових коштів'!Заголовки_для_печати</vt:lpstr>
      <vt:lpstr>'0.1.Фінплан - зведені показники'!Область_печати</vt:lpstr>
      <vt:lpstr>'1.1.Фінансовий результат'!Область_печати</vt:lpstr>
      <vt:lpstr>'1.Фінансовий результат'!Область_печати</vt:lpstr>
      <vt:lpstr>'2.1Розрахунки з бюджетом'!Область_печати</vt:lpstr>
      <vt:lpstr>'2.Розрахунки з бюджетом'!Область_печати</vt:lpstr>
      <vt:lpstr>'3.1.Рух грошових коштів'!Область_печати</vt:lpstr>
      <vt:lpstr>'3.Рух грошових коштів'!Область_печати</vt:lpstr>
      <vt:lpstr>'4.1.Кап. інвестиції'!Область_печати</vt:lpstr>
      <vt:lpstr>'5.1. Інша інформація'!Область_печати</vt:lpstr>
      <vt:lpstr>'6. Кофіцієнти'!Область_печати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Плановий</cp:lastModifiedBy>
  <cp:lastPrinted>2020-04-03T06:42:37Z</cp:lastPrinted>
  <dcterms:created xsi:type="dcterms:W3CDTF">2003-03-13T16:00:22Z</dcterms:created>
  <dcterms:modified xsi:type="dcterms:W3CDTF">2020-04-28T07:38:07Z</dcterms:modified>
</cp:coreProperties>
</file>