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yuk.andriy\Desktop\Комбінат комунальних підприємств_31052021\2_2019\"/>
    </mc:Choice>
  </mc:AlternateContent>
  <bookViews>
    <workbookView xWindow="0" yWindow="0" windowWidth="24000" windowHeight="10125" tabRatio="792" firstSheet="4" activeTab="10"/>
  </bookViews>
  <sheets>
    <sheet name="0. Фінплан-зведені показники" sheetId="20" r:id="rId1"/>
    <sheet name="0.1.Фінплан - зведені показники" sheetId="14" state="hidden" r:id="rId2"/>
    <sheet name="1.Фінансовий результат" sheetId="21" r:id="rId3"/>
    <sheet name="1.1.Фінансовий результат" sheetId="2" state="hidden" r:id="rId4"/>
    <sheet name="2.Розрахунки з бюджетом" sheetId="23" r:id="rId5"/>
    <sheet name="2.1Розрахунки з бюджетом" sheetId="19" state="hidden" r:id="rId6"/>
    <sheet name="3.Рух грошових коштів" sheetId="24" r:id="rId7"/>
    <sheet name="3.1.Рух грошових коштів" sheetId="18" state="hidden" r:id="rId8"/>
    <sheet name="4.Кап. інвестиції" sheetId="22" r:id="rId9"/>
    <sheet name="4.1.Кап. інвестиції" sheetId="3" state="hidden" r:id="rId10"/>
    <sheet name="5. Інша інформація" sheetId="25" r:id="rId11"/>
    <sheet name="6. Кофіцієнти" sheetId="26" r:id="rId12"/>
    <sheet name="5.1. Інша інформація" sheetId="10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1">'0.1.Фінплан - зведені показники'!$7:$7</definedName>
    <definedName name="_xlnm.Print_Titles" localSheetId="3">'1.1.Фінансовий результат'!$5:$5</definedName>
    <definedName name="_xlnm.Print_Titles" localSheetId="5">'2.1Розрахунки з бюджетом'!$6:$6</definedName>
    <definedName name="_xlnm.Print_Titles" localSheetId="7">'3.1.Рух грошових коштів'!$6:$6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'0.1.Фінплан - зведені показники'!$A$1:$J$42</definedName>
    <definedName name="_xlnm.Print_Area" localSheetId="3">'1.1.Фінансовий результат'!$A$1:$J$110</definedName>
    <definedName name="_xlnm.Print_Area" localSheetId="2">'1.Фінансовий результат'!$A$1:$G$110</definedName>
    <definedName name="_xlnm.Print_Area" localSheetId="5">'2.1Розрахунки з бюджетом'!$A$1:$J$42</definedName>
    <definedName name="_xlnm.Print_Area" localSheetId="7">'3.1.Рух грошових коштів'!$A$1:$J$80</definedName>
    <definedName name="_xlnm.Print_Area" localSheetId="6">'3.Рух грошових коштів'!$A$1:$G$81</definedName>
    <definedName name="_xlnm.Print_Area" localSheetId="9">'4.1.Кап. інвестиції'!$A$1:$J$23</definedName>
    <definedName name="_xlnm.Print_Area" localSheetId="8">'4.Кап. інвестиції'!$A$1:$G$23</definedName>
    <definedName name="_xlnm.Print_Area" localSheetId="10">'5. Інша інформація'!$A$1:$X$94</definedName>
    <definedName name="_xlnm.Print_Area" localSheetId="12">'5.1. Інша інформація'!$A$70:$AE$97</definedName>
    <definedName name="_xlnm.Print_Area" localSheetId="11">'6. Кофіцієнти'!$A$1:$F$22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52511"/>
</workbook>
</file>

<file path=xl/calcChain.xml><?xml version="1.0" encoding="utf-8"?>
<calcChain xmlns="http://schemas.openxmlformats.org/spreadsheetml/2006/main">
  <c r="D17" i="26" l="1"/>
  <c r="D16" i="26"/>
  <c r="D15" i="26"/>
  <c r="D13" i="26"/>
  <c r="D12" i="26"/>
  <c r="D9" i="26"/>
  <c r="D10" i="26"/>
  <c r="D7" i="26"/>
  <c r="D8" i="26"/>
  <c r="E17" i="26"/>
  <c r="E13" i="26"/>
  <c r="E12" i="26"/>
  <c r="D74" i="24"/>
  <c r="D60" i="21"/>
  <c r="D61" i="21"/>
  <c r="D16" i="21"/>
  <c r="G63" i="25"/>
  <c r="D71" i="21"/>
  <c r="D106" i="21"/>
  <c r="D27" i="21"/>
  <c r="D86" i="21"/>
  <c r="D103" i="21" l="1"/>
  <c r="D76" i="21"/>
  <c r="D73" i="21"/>
  <c r="D102" i="21" s="1"/>
  <c r="D101" i="21" s="1"/>
  <c r="O90" i="10" l="1"/>
  <c r="P90" i="10"/>
  <c r="M87" i="10"/>
  <c r="L87" i="10" s="1"/>
  <c r="N89" i="10"/>
  <c r="N90" i="10" s="1"/>
  <c r="M86" i="10"/>
  <c r="L86" i="10" s="1"/>
  <c r="W91" i="10"/>
  <c r="AC86" i="10"/>
  <c r="AD86" i="10"/>
  <c r="AE86" i="10"/>
  <c r="AC87" i="10"/>
  <c r="AD87" i="10"/>
  <c r="AE87" i="10"/>
  <c r="AC88" i="10"/>
  <c r="AD88" i="10"/>
  <c r="AE88" i="10"/>
  <c r="AC89" i="10"/>
  <c r="AD89" i="10"/>
  <c r="AE89" i="10"/>
  <c r="X91" i="10"/>
  <c r="AB88" i="10"/>
  <c r="AB89" i="10"/>
  <c r="AA89" i="10" s="1"/>
  <c r="AB86" i="10"/>
  <c r="P73" i="10"/>
  <c r="R73" i="10"/>
  <c r="S73" i="10"/>
  <c r="T73" i="10"/>
  <c r="U73" i="10"/>
  <c r="Q73" i="10"/>
  <c r="AB87" i="10" l="1"/>
  <c r="AA87" i="10" s="1"/>
  <c r="AC90" i="10"/>
  <c r="AE90" i="10"/>
  <c r="AB90" i="10"/>
  <c r="AA88" i="10"/>
  <c r="AD90" i="10"/>
  <c r="L90" i="10"/>
  <c r="M90" i="10"/>
  <c r="AA86" i="10"/>
  <c r="AA90" i="10" s="1"/>
  <c r="D104" i="21" l="1"/>
  <c r="J78" i="25" l="1"/>
  <c r="V78" i="25" s="1"/>
  <c r="J77" i="25"/>
  <c r="U80" i="25"/>
  <c r="J80" i="25"/>
  <c r="V80" i="25" s="1"/>
  <c r="B80" i="25"/>
  <c r="J79" i="25"/>
  <c r="V79" i="25" s="1"/>
  <c r="E14" i="22"/>
  <c r="D9" i="22"/>
  <c r="W80" i="25" l="1"/>
  <c r="K80" i="25"/>
  <c r="J75" i="25"/>
  <c r="J82" i="25" s="1"/>
  <c r="B18" i="25" l="1"/>
  <c r="B26" i="25" s="1"/>
  <c r="C75" i="24"/>
  <c r="C26" i="24" l="1"/>
  <c r="C8" i="23"/>
  <c r="C16" i="22" l="1"/>
  <c r="C15" i="22"/>
  <c r="C13" i="22"/>
  <c r="I79" i="25" s="1"/>
  <c r="C12" i="22"/>
  <c r="I78" i="25" s="1"/>
  <c r="C11" i="22"/>
  <c r="C10" i="22"/>
  <c r="C8" i="22"/>
  <c r="C76" i="24"/>
  <c r="C73" i="24"/>
  <c r="C72" i="24"/>
  <c r="C70" i="24"/>
  <c r="C71" i="24"/>
  <c r="C69" i="24"/>
  <c r="D68" i="24"/>
  <c r="D64" i="24"/>
  <c r="C67" i="24"/>
  <c r="C66" i="24"/>
  <c r="C65" i="24"/>
  <c r="C63" i="24"/>
  <c r="C62" i="24"/>
  <c r="C60" i="24"/>
  <c r="C57" i="24"/>
  <c r="C49" i="24"/>
  <c r="C50" i="24"/>
  <c r="C51" i="24"/>
  <c r="C52" i="24"/>
  <c r="C53" i="24"/>
  <c r="C54" i="24"/>
  <c r="C55" i="24"/>
  <c r="C56" i="24"/>
  <c r="C48" i="24"/>
  <c r="C39" i="24"/>
  <c r="C40" i="24"/>
  <c r="C41" i="24"/>
  <c r="C42" i="24"/>
  <c r="C43" i="24"/>
  <c r="C44" i="24"/>
  <c r="C45" i="24"/>
  <c r="C34" i="24"/>
  <c r="C35" i="24"/>
  <c r="C36" i="24"/>
  <c r="C37" i="24"/>
  <c r="C38" i="24"/>
  <c r="C32" i="24"/>
  <c r="C33" i="24"/>
  <c r="C31" i="24"/>
  <c r="C11" i="24"/>
  <c r="C12" i="24"/>
  <c r="C13" i="24"/>
  <c r="C14" i="24"/>
  <c r="C15" i="24"/>
  <c r="C16" i="24"/>
  <c r="C10" i="24"/>
  <c r="C32" i="23"/>
  <c r="C21" i="23"/>
  <c r="C16" i="23"/>
  <c r="C86" i="21"/>
  <c r="C87" i="21"/>
  <c r="C85" i="21"/>
  <c r="C71" i="21"/>
  <c r="C72" i="21"/>
  <c r="C73" i="21"/>
  <c r="C74" i="21"/>
  <c r="C75" i="21"/>
  <c r="C76" i="21"/>
  <c r="C77" i="21"/>
  <c r="C78" i="21"/>
  <c r="C70" i="21"/>
  <c r="C67" i="21"/>
  <c r="E67" i="21" s="1"/>
  <c r="C65" i="21"/>
  <c r="C56" i="21"/>
  <c r="C57" i="21"/>
  <c r="C58" i="21"/>
  <c r="C59" i="21"/>
  <c r="C60" i="21"/>
  <c r="C61" i="21"/>
  <c r="C55" i="21"/>
  <c r="C54" i="21"/>
  <c r="C47" i="21"/>
  <c r="C48" i="21"/>
  <c r="C49" i="21"/>
  <c r="C50" i="21"/>
  <c r="C51" i="21"/>
  <c r="C52" i="21"/>
  <c r="C46" i="21"/>
  <c r="C45" i="21"/>
  <c r="C44" i="21"/>
  <c r="C33" i="21"/>
  <c r="C34" i="21"/>
  <c r="C35" i="21"/>
  <c r="C36" i="21"/>
  <c r="C37" i="21"/>
  <c r="C38" i="21"/>
  <c r="C39" i="21"/>
  <c r="B19" i="25" s="1"/>
  <c r="C41" i="21"/>
  <c r="C42" i="21"/>
  <c r="C43" i="21"/>
  <c r="C32" i="21"/>
  <c r="C24" i="21"/>
  <c r="C25" i="21"/>
  <c r="F25" i="21" s="1"/>
  <c r="C26" i="21"/>
  <c r="C27" i="21"/>
  <c r="C28" i="21"/>
  <c r="C23" i="21"/>
  <c r="C21" i="21"/>
  <c r="C16" i="21"/>
  <c r="C17" i="21"/>
  <c r="C18" i="21"/>
  <c r="C20" i="21"/>
  <c r="C15" i="21"/>
  <c r="C12" i="21"/>
  <c r="C11" i="21"/>
  <c r="C10" i="21"/>
  <c r="C9" i="21"/>
  <c r="C8" i="21"/>
  <c r="G10" i="26"/>
  <c r="B44" i="20"/>
  <c r="D105" i="21"/>
  <c r="C10" i="25"/>
  <c r="C68" i="24" l="1"/>
  <c r="C64" i="24"/>
  <c r="U79" i="25"/>
  <c r="K79" i="25"/>
  <c r="L79" i="25"/>
  <c r="U78" i="25"/>
  <c r="W78" i="25" l="1"/>
  <c r="X79" i="25"/>
  <c r="W79" i="25"/>
  <c r="C26" i="25"/>
  <c r="D39" i="20" l="1"/>
  <c r="D43" i="20"/>
  <c r="G9" i="26"/>
  <c r="B89" i="10"/>
  <c r="B88" i="10"/>
  <c r="B87" i="10"/>
  <c r="B86" i="10"/>
  <c r="C19" i="25"/>
  <c r="D26" i="24"/>
  <c r="D57" i="24"/>
  <c r="D45" i="24"/>
  <c r="D35" i="23"/>
  <c r="D34" i="23"/>
  <c r="D33" i="23"/>
  <c r="D25" i="24"/>
  <c r="D37" i="23"/>
  <c r="C21" i="25"/>
  <c r="D73" i="24" l="1"/>
  <c r="D23" i="24"/>
  <c r="D22" i="24"/>
  <c r="D41" i="20"/>
  <c r="N75" i="25"/>
  <c r="F75" i="25"/>
  <c r="E75" i="25"/>
  <c r="V76" i="25"/>
  <c r="V77" i="25"/>
  <c r="R75" i="25"/>
  <c r="Q77" i="25"/>
  <c r="Q76" i="25"/>
  <c r="M77" i="25"/>
  <c r="O77" i="25" s="1"/>
  <c r="M76" i="25"/>
  <c r="O76" i="25" s="1"/>
  <c r="I77" i="25"/>
  <c r="I76" i="25"/>
  <c r="J62" i="25"/>
  <c r="K62" i="25"/>
  <c r="L62" i="25"/>
  <c r="I62" i="25"/>
  <c r="G62" i="25"/>
  <c r="D42" i="20" l="1"/>
  <c r="I75" i="25"/>
  <c r="L75" i="25" s="1"/>
  <c r="V75" i="25"/>
  <c r="V82" i="25" s="1"/>
  <c r="U77" i="25"/>
  <c r="L77" i="25"/>
  <c r="P77" i="25" s="1"/>
  <c r="T77" i="25" s="1"/>
  <c r="X77" i="25"/>
  <c r="G75" i="25"/>
  <c r="P76" i="25"/>
  <c r="T76" i="25" s="1"/>
  <c r="U76" i="25"/>
  <c r="Q75" i="25"/>
  <c r="S75" i="25" s="1"/>
  <c r="S77" i="25"/>
  <c r="M75" i="25"/>
  <c r="O75" i="25" s="1"/>
  <c r="S76" i="25"/>
  <c r="H75" i="25"/>
  <c r="C22" i="25"/>
  <c r="C23" i="25"/>
  <c r="C27" i="25" s="1"/>
  <c r="C17" i="25"/>
  <c r="C25" i="25" s="1"/>
  <c r="B30" i="25"/>
  <c r="B12" i="25"/>
  <c r="F12" i="25" s="1"/>
  <c r="B13" i="25"/>
  <c r="F13" i="25" s="1"/>
  <c r="B14" i="25"/>
  <c r="F14" i="25" s="1"/>
  <c r="B15" i="25"/>
  <c r="F15" i="25" s="1"/>
  <c r="B11" i="25"/>
  <c r="F11" i="25" s="1"/>
  <c r="O82" i="25"/>
  <c r="V81" i="25"/>
  <c r="W81" i="25" s="1"/>
  <c r="K81" i="25"/>
  <c r="W77" i="25"/>
  <c r="K76" i="25"/>
  <c r="E63" i="25"/>
  <c r="D32" i="21" s="1"/>
  <c r="E62" i="25"/>
  <c r="B22" i="25"/>
  <c r="D12" i="25"/>
  <c r="D17" i="22"/>
  <c r="C18" i="22"/>
  <c r="E18" i="22" s="1"/>
  <c r="C19" i="22"/>
  <c r="E19" i="22" s="1"/>
  <c r="C20" i="22"/>
  <c r="E20" i="22" s="1"/>
  <c r="E16" i="22"/>
  <c r="E15" i="22"/>
  <c r="E8" i="22"/>
  <c r="E10" i="22"/>
  <c r="E11" i="22"/>
  <c r="E12" i="22"/>
  <c r="E13" i="22"/>
  <c r="C43" i="20"/>
  <c r="F43" i="20" s="1"/>
  <c r="C39" i="20"/>
  <c r="F39" i="20" s="1"/>
  <c r="C42" i="20"/>
  <c r="C41" i="20"/>
  <c r="F75" i="24"/>
  <c r="E75" i="24"/>
  <c r="D34" i="20"/>
  <c r="D36" i="20"/>
  <c r="D33" i="20"/>
  <c r="D31" i="20"/>
  <c r="D23" i="20"/>
  <c r="D24" i="20"/>
  <c r="D25" i="20"/>
  <c r="D26" i="20"/>
  <c r="C24" i="20"/>
  <c r="C25" i="20"/>
  <c r="C26" i="20"/>
  <c r="C23" i="20"/>
  <c r="D18" i="20"/>
  <c r="C18" i="20"/>
  <c r="B46" i="20"/>
  <c r="F44" i="20"/>
  <c r="E44" i="20"/>
  <c r="B43" i="20"/>
  <c r="B42" i="20"/>
  <c r="F41" i="20"/>
  <c r="B41" i="20"/>
  <c r="B40" i="20"/>
  <c r="B39" i="20"/>
  <c r="B37" i="20"/>
  <c r="B36" i="20"/>
  <c r="B35" i="20"/>
  <c r="B34" i="20"/>
  <c r="B33" i="20"/>
  <c r="B32" i="20"/>
  <c r="B31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F21" i="23"/>
  <c r="F16" i="23"/>
  <c r="F32" i="23"/>
  <c r="E32" i="23"/>
  <c r="D31" i="23"/>
  <c r="E16" i="23"/>
  <c r="F8" i="23"/>
  <c r="E8" i="23"/>
  <c r="D53" i="21"/>
  <c r="F92" i="21"/>
  <c r="E92" i="21"/>
  <c r="F91" i="21"/>
  <c r="E91" i="21"/>
  <c r="F86" i="21"/>
  <c r="F85" i="21"/>
  <c r="F78" i="21"/>
  <c r="E77" i="21"/>
  <c r="E76" i="21"/>
  <c r="E75" i="21"/>
  <c r="E74" i="21"/>
  <c r="E73" i="21"/>
  <c r="E72" i="21"/>
  <c r="E71" i="21"/>
  <c r="E70" i="21"/>
  <c r="E65" i="21"/>
  <c r="E39" i="21"/>
  <c r="D15" i="25" l="1"/>
  <c r="D13" i="25"/>
  <c r="U75" i="25"/>
  <c r="I82" i="25"/>
  <c r="E18" i="20"/>
  <c r="F26" i="20"/>
  <c r="D11" i="25"/>
  <c r="D14" i="25"/>
  <c r="W76" i="25"/>
  <c r="P75" i="25"/>
  <c r="T75" i="25" s="1"/>
  <c r="B10" i="25"/>
  <c r="F10" i="25" s="1"/>
  <c r="D18" i="25"/>
  <c r="F18" i="25"/>
  <c r="E87" i="21"/>
  <c r="F87" i="21"/>
  <c r="C20" i="25"/>
  <c r="D22" i="23"/>
  <c r="D24" i="24" s="1"/>
  <c r="F18" i="20"/>
  <c r="F25" i="20"/>
  <c r="F23" i="20"/>
  <c r="F24" i="20"/>
  <c r="F42" i="20"/>
  <c r="F39" i="21"/>
  <c r="F65" i="21"/>
  <c r="F70" i="21"/>
  <c r="F71" i="21"/>
  <c r="F72" i="21"/>
  <c r="F73" i="21"/>
  <c r="F74" i="21"/>
  <c r="F75" i="21"/>
  <c r="F76" i="21"/>
  <c r="E78" i="21"/>
  <c r="E85" i="21"/>
  <c r="E86" i="21"/>
  <c r="E21" i="23"/>
  <c r="C34" i="20"/>
  <c r="F34" i="20" s="1"/>
  <c r="E23" i="20"/>
  <c r="E24" i="20"/>
  <c r="E25" i="20"/>
  <c r="E26" i="20"/>
  <c r="E39" i="20"/>
  <c r="E41" i="20"/>
  <c r="E42" i="20"/>
  <c r="E43" i="20"/>
  <c r="F8" i="22"/>
  <c r="F10" i="22"/>
  <c r="F11" i="22"/>
  <c r="F12" i="22"/>
  <c r="F13" i="22"/>
  <c r="F15" i="22"/>
  <c r="F16" i="22"/>
  <c r="F18" i="22"/>
  <c r="F19" i="22"/>
  <c r="F20" i="22"/>
  <c r="C17" i="22"/>
  <c r="E17" i="22" s="1"/>
  <c r="D7" i="22"/>
  <c r="C9" i="22"/>
  <c r="E9" i="22" s="1"/>
  <c r="D22" i="25"/>
  <c r="D26" i="25"/>
  <c r="D10" i="25"/>
  <c r="F22" i="25"/>
  <c r="C24" i="25"/>
  <c r="C28" i="25" s="1"/>
  <c r="F26" i="25"/>
  <c r="C30" i="25"/>
  <c r="E35" i="21"/>
  <c r="E37" i="21"/>
  <c r="E26" i="21"/>
  <c r="D84" i="21"/>
  <c r="C84" i="21"/>
  <c r="C79" i="21" s="1"/>
  <c r="C21" i="20" s="1"/>
  <c r="D69" i="21"/>
  <c r="C69" i="21"/>
  <c r="C53" i="21"/>
  <c r="D22" i="21"/>
  <c r="D14" i="21" s="1"/>
  <c r="D16" i="20" s="1"/>
  <c r="D7" i="21"/>
  <c r="X75" i="25" l="1"/>
  <c r="W75" i="25"/>
  <c r="E34" i="20"/>
  <c r="E20" i="21"/>
  <c r="F20" i="21"/>
  <c r="D35" i="20"/>
  <c r="D46" i="20"/>
  <c r="E15" i="26"/>
  <c r="E28" i="21"/>
  <c r="F28" i="21"/>
  <c r="F24" i="21"/>
  <c r="E24" i="21"/>
  <c r="F21" i="21"/>
  <c r="E21" i="21"/>
  <c r="F17" i="21"/>
  <c r="E17" i="21"/>
  <c r="F15" i="21"/>
  <c r="E15" i="21"/>
  <c r="F11" i="21"/>
  <c r="E11" i="21"/>
  <c r="E32" i="21"/>
  <c r="F32" i="21"/>
  <c r="F36" i="21"/>
  <c r="E36" i="21"/>
  <c r="E38" i="21"/>
  <c r="F38" i="21"/>
  <c r="E41" i="21"/>
  <c r="F41" i="21"/>
  <c r="E56" i="21"/>
  <c r="F56" i="21"/>
  <c r="E58" i="21"/>
  <c r="F58" i="21"/>
  <c r="E60" i="21"/>
  <c r="F60" i="21"/>
  <c r="F17" i="22"/>
  <c r="E27" i="21"/>
  <c r="F27" i="21"/>
  <c r="E25" i="21"/>
  <c r="F23" i="21"/>
  <c r="E23" i="21"/>
  <c r="F18" i="21"/>
  <c r="E18" i="21"/>
  <c r="F16" i="21"/>
  <c r="E16" i="21"/>
  <c r="F10" i="21"/>
  <c r="E10" i="21"/>
  <c r="F8" i="21"/>
  <c r="E8" i="21"/>
  <c r="E43" i="21"/>
  <c r="F43" i="21"/>
  <c r="E51" i="21"/>
  <c r="F51" i="21"/>
  <c r="E52" i="21"/>
  <c r="F52" i="21"/>
  <c r="E55" i="21"/>
  <c r="F55" i="21"/>
  <c r="E57" i="21"/>
  <c r="F57" i="21"/>
  <c r="E59" i="21"/>
  <c r="F59" i="21"/>
  <c r="E61" i="21"/>
  <c r="F61" i="21"/>
  <c r="F9" i="22"/>
  <c r="C7" i="22"/>
  <c r="C46" i="20" s="1"/>
  <c r="D30" i="25"/>
  <c r="F30" i="25"/>
  <c r="K82" i="25"/>
  <c r="K75" i="25"/>
  <c r="C31" i="25"/>
  <c r="C29" i="25"/>
  <c r="D79" i="21"/>
  <c r="D107" i="21" s="1"/>
  <c r="E84" i="21"/>
  <c r="F84" i="21"/>
  <c r="F69" i="21"/>
  <c r="E69" i="21"/>
  <c r="D62" i="21"/>
  <c r="E53" i="21"/>
  <c r="F53" i="21"/>
  <c r="D31" i="21"/>
  <c r="D19" i="20" s="1"/>
  <c r="D13" i="21"/>
  <c r="D19" i="24" s="1"/>
  <c r="D18" i="24" s="1"/>
  <c r="C22" i="21"/>
  <c r="F22" i="21" s="1"/>
  <c r="C7" i="21"/>
  <c r="C13" i="21" s="1"/>
  <c r="C98" i="21" s="1"/>
  <c r="D7" i="2"/>
  <c r="I10" i="3"/>
  <c r="I8" i="3" s="1"/>
  <c r="I40" i="14" s="1"/>
  <c r="H10" i="3"/>
  <c r="H8" i="3" s="1"/>
  <c r="H40" i="14" s="1"/>
  <c r="E72" i="18"/>
  <c r="E25" i="18"/>
  <c r="E23" i="18"/>
  <c r="E37" i="19"/>
  <c r="E35" i="19"/>
  <c r="E34" i="19"/>
  <c r="E33" i="19"/>
  <c r="E20" i="19"/>
  <c r="F10" i="2"/>
  <c r="E102" i="2"/>
  <c r="E22" i="18"/>
  <c r="E19" i="2"/>
  <c r="E66" i="2"/>
  <c r="E40" i="2"/>
  <c r="D34" i="10"/>
  <c r="D29" i="10"/>
  <c r="D33" i="10" s="1"/>
  <c r="D31" i="10"/>
  <c r="D35" i="10" s="1"/>
  <c r="D28" i="10"/>
  <c r="D32" i="10" s="1"/>
  <c r="D36" i="10" s="1"/>
  <c r="E14" i="10"/>
  <c r="I14" i="10" s="1"/>
  <c r="F32" i="19"/>
  <c r="J20" i="19"/>
  <c r="J27" i="14" s="1"/>
  <c r="G25" i="14"/>
  <c r="G10" i="3"/>
  <c r="G8" i="3" s="1"/>
  <c r="G40" i="14" s="1"/>
  <c r="F12" i="3"/>
  <c r="F11" i="3"/>
  <c r="G102" i="2"/>
  <c r="J103" i="2"/>
  <c r="I103" i="2"/>
  <c r="H103" i="2"/>
  <c r="G103" i="2"/>
  <c r="G106" i="2"/>
  <c r="J106" i="2"/>
  <c r="I106" i="2"/>
  <c r="H106" i="2"/>
  <c r="J104" i="2"/>
  <c r="J26" i="19" s="1"/>
  <c r="I104" i="2"/>
  <c r="I26" i="19" s="1"/>
  <c r="H104" i="2"/>
  <c r="H26" i="19" s="1"/>
  <c r="G104" i="2"/>
  <c r="G36" i="19" s="1"/>
  <c r="F21" i="2"/>
  <c r="F23" i="2"/>
  <c r="H66" i="2"/>
  <c r="G66" i="2"/>
  <c r="F74" i="2"/>
  <c r="J66" i="2"/>
  <c r="G40" i="2"/>
  <c r="H19" i="2"/>
  <c r="E30" i="10"/>
  <c r="E34" i="10" s="1"/>
  <c r="E90" i="10"/>
  <c r="D22" i="18"/>
  <c r="G15" i="10"/>
  <c r="I16" i="10"/>
  <c r="G19" i="10"/>
  <c r="I19" i="10"/>
  <c r="B21" i="10"/>
  <c r="C21" i="10"/>
  <c r="C25" i="10" s="1"/>
  <c r="G22" i="10"/>
  <c r="I22" i="10"/>
  <c r="B25" i="10"/>
  <c r="C26" i="10"/>
  <c r="G26" i="10"/>
  <c r="C27" i="10"/>
  <c r="C28" i="10"/>
  <c r="C34" i="10"/>
  <c r="C35" i="10"/>
  <c r="C36" i="10"/>
  <c r="C8" i="3"/>
  <c r="C40" i="14" s="1"/>
  <c r="E10" i="3"/>
  <c r="E8" i="3" s="1"/>
  <c r="E40" i="14" s="1"/>
  <c r="F17" i="3"/>
  <c r="D23" i="18"/>
  <c r="D25" i="18"/>
  <c r="D27" i="18"/>
  <c r="D72" i="18"/>
  <c r="G20" i="19"/>
  <c r="H20" i="19"/>
  <c r="H25" i="18" s="1"/>
  <c r="I20" i="19"/>
  <c r="I25" i="18" s="1"/>
  <c r="J25" i="18"/>
  <c r="C31" i="19"/>
  <c r="C22" i="19" s="1"/>
  <c r="D31" i="19"/>
  <c r="D22" i="19" s="1"/>
  <c r="G33" i="19"/>
  <c r="H33" i="19"/>
  <c r="I33" i="19"/>
  <c r="J33" i="19"/>
  <c r="G34" i="19"/>
  <c r="H34" i="19"/>
  <c r="I34" i="19"/>
  <c r="J34" i="19"/>
  <c r="G35" i="19"/>
  <c r="H35" i="19"/>
  <c r="I35" i="19"/>
  <c r="J35" i="19"/>
  <c r="C7" i="2"/>
  <c r="C13" i="2" s="1"/>
  <c r="E7" i="2"/>
  <c r="E13" i="2" s="1"/>
  <c r="E19" i="18" s="1"/>
  <c r="E18" i="18" s="1"/>
  <c r="G7" i="2"/>
  <c r="G13" i="2" s="1"/>
  <c r="H7" i="2"/>
  <c r="H13" i="2" s="1"/>
  <c r="H98" i="2" s="1"/>
  <c r="I7" i="2"/>
  <c r="I13" i="2" s="1"/>
  <c r="J7" i="2"/>
  <c r="J13" i="2" s="1"/>
  <c r="J19" i="18" s="1"/>
  <c r="J18" i="18" s="1"/>
  <c r="J17" i="18" s="1"/>
  <c r="F8" i="2"/>
  <c r="F11" i="2"/>
  <c r="F20" i="19" s="1"/>
  <c r="F25" i="18" s="1"/>
  <c r="D13" i="2"/>
  <c r="F15" i="2"/>
  <c r="F16" i="2"/>
  <c r="F17" i="2"/>
  <c r="F18" i="2"/>
  <c r="F19" i="2" s="1"/>
  <c r="G19" i="2"/>
  <c r="C19" i="21" s="1"/>
  <c r="I19" i="2"/>
  <c r="J19" i="2"/>
  <c r="J105" i="2" s="1"/>
  <c r="C22" i="2"/>
  <c r="D22" i="2"/>
  <c r="D14" i="2" s="1"/>
  <c r="D10" i="14" s="1"/>
  <c r="E22" i="2"/>
  <c r="E14" i="2" s="1"/>
  <c r="G22" i="2"/>
  <c r="H22" i="2"/>
  <c r="I22" i="2"/>
  <c r="J22" i="2"/>
  <c r="F24" i="2"/>
  <c r="F25" i="2"/>
  <c r="F26" i="2"/>
  <c r="F27" i="2"/>
  <c r="F28" i="2"/>
  <c r="F32" i="2"/>
  <c r="F38" i="2"/>
  <c r="F39" i="2"/>
  <c r="E23" i="10" s="1"/>
  <c r="H40" i="2"/>
  <c r="I40" i="2"/>
  <c r="J40" i="2"/>
  <c r="F41" i="2"/>
  <c r="F43" i="2"/>
  <c r="F52" i="2"/>
  <c r="F51" i="2" s="1"/>
  <c r="C53" i="2"/>
  <c r="C31" i="2" s="1"/>
  <c r="C13" i="14" s="1"/>
  <c r="D53" i="2"/>
  <c r="D31" i="2" s="1"/>
  <c r="E53" i="2"/>
  <c r="E31" i="2" s="1"/>
  <c r="E13" i="14" s="1"/>
  <c r="G53" i="2"/>
  <c r="G31" i="2" s="1"/>
  <c r="G13" i="14" s="1"/>
  <c r="H53" i="2"/>
  <c r="I53" i="2"/>
  <c r="J53" i="2"/>
  <c r="J31" i="2" s="1"/>
  <c r="J13" i="14" s="1"/>
  <c r="F55" i="2"/>
  <c r="F56" i="2"/>
  <c r="F57" i="2"/>
  <c r="F59" i="2"/>
  <c r="F60" i="2"/>
  <c r="F61" i="2"/>
  <c r="C62" i="2"/>
  <c r="F65" i="2"/>
  <c r="F104" i="2" s="1"/>
  <c r="F22" i="18" s="1"/>
  <c r="I66" i="2"/>
  <c r="F67" i="2"/>
  <c r="D69" i="2"/>
  <c r="D62" i="2" s="1"/>
  <c r="D14" i="14" s="1"/>
  <c r="E69" i="2"/>
  <c r="E62" i="2" s="1"/>
  <c r="E14" i="14" s="1"/>
  <c r="G69" i="2"/>
  <c r="H69" i="2"/>
  <c r="H62" i="2" s="1"/>
  <c r="H14" i="14" s="1"/>
  <c r="I69" i="2"/>
  <c r="J69" i="2"/>
  <c r="J62" i="2" s="1"/>
  <c r="J14" i="14" s="1"/>
  <c r="F70" i="2"/>
  <c r="F71" i="2"/>
  <c r="F72" i="2"/>
  <c r="F73" i="2"/>
  <c r="F75" i="2"/>
  <c r="F76" i="2"/>
  <c r="F77" i="2"/>
  <c r="F78" i="2"/>
  <c r="C84" i="2"/>
  <c r="C79" i="2" s="1"/>
  <c r="C15" i="14" s="1"/>
  <c r="D84" i="2"/>
  <c r="D79" i="2" s="1"/>
  <c r="D15" i="14" s="1"/>
  <c r="E84" i="2"/>
  <c r="E79" i="2" s="1"/>
  <c r="G84" i="2"/>
  <c r="G79" i="2" s="1"/>
  <c r="H84" i="2"/>
  <c r="H79" i="2" s="1"/>
  <c r="I84" i="2"/>
  <c r="I79" i="2" s="1"/>
  <c r="J84" i="2"/>
  <c r="J79" i="2" s="1"/>
  <c r="F85" i="2"/>
  <c r="F35" i="19" s="1"/>
  <c r="F86" i="2"/>
  <c r="F33" i="19" s="1"/>
  <c r="F87" i="2"/>
  <c r="F34" i="19" s="1"/>
  <c r="C101" i="2"/>
  <c r="D101" i="2"/>
  <c r="D108" i="2" s="1"/>
  <c r="E101" i="2"/>
  <c r="H102" i="2"/>
  <c r="H101" i="2" s="1"/>
  <c r="I102" i="2"/>
  <c r="I101" i="2" s="1"/>
  <c r="J102" i="2"/>
  <c r="J101" i="2" s="1"/>
  <c r="G22" i="18"/>
  <c r="H22" i="18"/>
  <c r="I22" i="18"/>
  <c r="J36" i="19"/>
  <c r="C108" i="2"/>
  <c r="B9" i="14"/>
  <c r="J9" i="14"/>
  <c r="B10" i="14"/>
  <c r="C10" i="14"/>
  <c r="B11" i="14"/>
  <c r="B12" i="14"/>
  <c r="C12" i="14"/>
  <c r="D12" i="14"/>
  <c r="F12" i="14"/>
  <c r="G12" i="14"/>
  <c r="H12" i="14"/>
  <c r="I12" i="14"/>
  <c r="J12" i="14"/>
  <c r="B13" i="14"/>
  <c r="B14" i="14"/>
  <c r="C14" i="14"/>
  <c r="B15" i="14"/>
  <c r="B16" i="14"/>
  <c r="B17" i="14"/>
  <c r="C17" i="14"/>
  <c r="D17" i="14"/>
  <c r="F17" i="14"/>
  <c r="G17" i="14"/>
  <c r="H17" i="14"/>
  <c r="I17" i="14"/>
  <c r="J17" i="14"/>
  <c r="B18" i="14"/>
  <c r="C18" i="14"/>
  <c r="D18" i="14"/>
  <c r="F18" i="14"/>
  <c r="G18" i="14"/>
  <c r="H18" i="14"/>
  <c r="I18" i="14"/>
  <c r="J18" i="14"/>
  <c r="B19" i="14"/>
  <c r="C19" i="14"/>
  <c r="D19" i="14"/>
  <c r="F19" i="14"/>
  <c r="G19" i="14"/>
  <c r="H19" i="14"/>
  <c r="I19" i="14"/>
  <c r="J19" i="14"/>
  <c r="B20" i="14"/>
  <c r="C20" i="14"/>
  <c r="D20" i="14"/>
  <c r="F20" i="14"/>
  <c r="G20" i="14"/>
  <c r="H20" i="14"/>
  <c r="I20" i="14"/>
  <c r="J20" i="14"/>
  <c r="B21" i="14"/>
  <c r="B22" i="14"/>
  <c r="C22" i="14"/>
  <c r="D22" i="14"/>
  <c r="B23" i="14"/>
  <c r="B25" i="14"/>
  <c r="C25" i="14"/>
  <c r="D25" i="14"/>
  <c r="B26" i="14"/>
  <c r="C26" i="14"/>
  <c r="D26" i="14"/>
  <c r="B27" i="14"/>
  <c r="C27" i="14"/>
  <c r="D27" i="14"/>
  <c r="E27" i="14"/>
  <c r="G27" i="14"/>
  <c r="I27" i="14"/>
  <c r="B28" i="14"/>
  <c r="C28" i="14"/>
  <c r="D28" i="14"/>
  <c r="F28" i="14"/>
  <c r="G28" i="14"/>
  <c r="H28" i="14"/>
  <c r="I28" i="14"/>
  <c r="J28" i="14"/>
  <c r="B29" i="14"/>
  <c r="B30" i="14"/>
  <c r="C30" i="14"/>
  <c r="D30" i="14"/>
  <c r="E30" i="14"/>
  <c r="B31" i="14"/>
  <c r="B33" i="14"/>
  <c r="C33" i="14"/>
  <c r="D33" i="14"/>
  <c r="E33" i="14"/>
  <c r="F33" i="14"/>
  <c r="G33" i="14"/>
  <c r="H33" i="14"/>
  <c r="I33" i="14"/>
  <c r="J33" i="14"/>
  <c r="B34" i="14"/>
  <c r="C34" i="14"/>
  <c r="B35" i="14"/>
  <c r="C35" i="14"/>
  <c r="D35" i="14"/>
  <c r="F35" i="14"/>
  <c r="G35" i="14"/>
  <c r="H35" i="14"/>
  <c r="I35" i="14"/>
  <c r="J35" i="14"/>
  <c r="B36" i="14"/>
  <c r="C36" i="14"/>
  <c r="D36" i="14"/>
  <c r="F36" i="14"/>
  <c r="G36" i="14"/>
  <c r="H36" i="14"/>
  <c r="I36" i="14"/>
  <c r="J36" i="14"/>
  <c r="B37" i="14"/>
  <c r="C37" i="14"/>
  <c r="D37" i="14"/>
  <c r="F37" i="14"/>
  <c r="G37" i="14"/>
  <c r="H37" i="14"/>
  <c r="I37" i="14"/>
  <c r="J37" i="14"/>
  <c r="B38" i="14"/>
  <c r="C38" i="14"/>
  <c r="D38" i="14"/>
  <c r="E38" i="14"/>
  <c r="B40" i="14"/>
  <c r="D19" i="18"/>
  <c r="D18" i="18" s="1"/>
  <c r="D17" i="18" s="1"/>
  <c r="C45" i="10"/>
  <c r="I26" i="10"/>
  <c r="D8" i="3"/>
  <c r="D40" i="14" s="1"/>
  <c r="H36" i="19"/>
  <c r="H31" i="19" s="1"/>
  <c r="J72" i="18"/>
  <c r="J38" i="14"/>
  <c r="E16" i="14"/>
  <c r="E21" i="14"/>
  <c r="E94" i="2"/>
  <c r="E31" i="14"/>
  <c r="I31" i="2"/>
  <c r="I13" i="14" s="1"/>
  <c r="G62" i="2"/>
  <c r="G14" i="14" s="1"/>
  <c r="D13" i="14"/>
  <c r="I98" i="2"/>
  <c r="G19" i="18"/>
  <c r="G98" i="2"/>
  <c r="G9" i="14"/>
  <c r="D43" i="10"/>
  <c r="D45" i="10" s="1"/>
  <c r="C98" i="2"/>
  <c r="E9" i="14"/>
  <c r="F40" i="2"/>
  <c r="F105" i="2"/>
  <c r="F37" i="19" s="1"/>
  <c r="F30" i="14" s="1"/>
  <c r="J37" i="19" l="1"/>
  <c r="J30" i="14" s="1"/>
  <c r="J23" i="18"/>
  <c r="F84" i="2"/>
  <c r="F79" i="2" s="1"/>
  <c r="F15" i="14" s="1"/>
  <c r="G14" i="10"/>
  <c r="I30" i="10"/>
  <c r="H31" i="2"/>
  <c r="H13" i="14" s="1"/>
  <c r="F27" i="14"/>
  <c r="J22" i="18"/>
  <c r="D108" i="21"/>
  <c r="H105" i="2"/>
  <c r="H23" i="18" s="1"/>
  <c r="H37" i="19"/>
  <c r="H30" i="14" s="1"/>
  <c r="E98" i="2"/>
  <c r="H19" i="18"/>
  <c r="H18" i="18" s="1"/>
  <c r="H17" i="18" s="1"/>
  <c r="I36" i="19"/>
  <c r="I31" i="19" s="1"/>
  <c r="H27" i="14"/>
  <c r="J31" i="19"/>
  <c r="J98" i="2"/>
  <c r="J14" i="2"/>
  <c r="J10" i="14" s="1"/>
  <c r="F10" i="3"/>
  <c r="F8" i="3" s="1"/>
  <c r="F40" i="14" s="1"/>
  <c r="C19" i="24"/>
  <c r="F36" i="19"/>
  <c r="C36" i="23"/>
  <c r="C35" i="23"/>
  <c r="F35" i="23" s="1"/>
  <c r="C34" i="23"/>
  <c r="C33" i="23"/>
  <c r="F69" i="2"/>
  <c r="F62" i="2" s="1"/>
  <c r="F14" i="14" s="1"/>
  <c r="C20" i="23"/>
  <c r="C25" i="24" s="1"/>
  <c r="C40" i="21"/>
  <c r="C31" i="21" s="1"/>
  <c r="C106" i="21"/>
  <c r="C66" i="21"/>
  <c r="C104" i="21"/>
  <c r="C22" i="24" s="1"/>
  <c r="F22" i="24" s="1"/>
  <c r="C103" i="21"/>
  <c r="C102" i="21"/>
  <c r="I15" i="14"/>
  <c r="I107" i="2"/>
  <c r="J15" i="14"/>
  <c r="J107" i="2"/>
  <c r="H15" i="14"/>
  <c r="H107" i="2"/>
  <c r="H108" i="2" s="1"/>
  <c r="E107" i="2"/>
  <c r="E108" i="2" s="1"/>
  <c r="E20" i="18" s="1"/>
  <c r="E15" i="14"/>
  <c r="E10" i="14"/>
  <c r="E29" i="2"/>
  <c r="E11" i="14" s="1"/>
  <c r="D29" i="21"/>
  <c r="D88" i="21" s="1"/>
  <c r="E7" i="21"/>
  <c r="E16" i="26"/>
  <c r="F107" i="2"/>
  <c r="D17" i="24"/>
  <c r="F7" i="22"/>
  <c r="F46" i="20"/>
  <c r="H91" i="10"/>
  <c r="D20" i="20"/>
  <c r="E79" i="21"/>
  <c r="F79" i="21"/>
  <c r="E31" i="10"/>
  <c r="E35" i="10" s="1"/>
  <c r="E27" i="10"/>
  <c r="G23" i="10"/>
  <c r="I34" i="10"/>
  <c r="G34" i="10"/>
  <c r="F23" i="18"/>
  <c r="H22" i="19"/>
  <c r="J22" i="19"/>
  <c r="C99" i="2"/>
  <c r="F106" i="2"/>
  <c r="F102" i="2"/>
  <c r="F22" i="2"/>
  <c r="F19" i="21"/>
  <c r="E19" i="21"/>
  <c r="G30" i="10"/>
  <c r="E66" i="21"/>
  <c r="F66" i="21"/>
  <c r="C62" i="21"/>
  <c r="C20" i="20" s="1"/>
  <c r="G26" i="19"/>
  <c r="C26" i="23" s="1"/>
  <c r="F103" i="21"/>
  <c r="E103" i="21"/>
  <c r="C101" i="21"/>
  <c r="F7" i="2"/>
  <c r="F13" i="2" s="1"/>
  <c r="B38" i="25"/>
  <c r="B40" i="25" s="1"/>
  <c r="C15" i="20"/>
  <c r="F7" i="21"/>
  <c r="D15" i="20"/>
  <c r="D38" i="25"/>
  <c r="E22" i="21"/>
  <c r="E7" i="22"/>
  <c r="F102" i="21"/>
  <c r="G18" i="18"/>
  <c r="G17" i="18" s="1"/>
  <c r="G31" i="19"/>
  <c r="G22" i="19" s="1"/>
  <c r="G29" i="14" s="1"/>
  <c r="I22" i="19"/>
  <c r="I29" i="14" s="1"/>
  <c r="E35" i="23"/>
  <c r="E34" i="23"/>
  <c r="F34" i="23"/>
  <c r="E33" i="23"/>
  <c r="F33" i="23"/>
  <c r="G25" i="18"/>
  <c r="E40" i="21"/>
  <c r="F40" i="21"/>
  <c r="F104" i="21"/>
  <c r="F106" i="21"/>
  <c r="E106" i="21"/>
  <c r="C14" i="21"/>
  <c r="D21" i="20"/>
  <c r="E102" i="21"/>
  <c r="U82" i="25"/>
  <c r="W82" i="25" s="1"/>
  <c r="C32" i="25"/>
  <c r="D98" i="21"/>
  <c r="F13" i="21"/>
  <c r="E13" i="21"/>
  <c r="E98" i="21" s="1"/>
  <c r="E31" i="19"/>
  <c r="E22" i="19" s="1"/>
  <c r="E29" i="14" s="1"/>
  <c r="J29" i="14"/>
  <c r="J24" i="18"/>
  <c r="F9" i="14"/>
  <c r="F98" i="2"/>
  <c r="F19" i="18"/>
  <c r="F18" i="18" s="1"/>
  <c r="F17" i="18" s="1"/>
  <c r="L43" i="10"/>
  <c r="L45" i="10" s="1"/>
  <c r="J108" i="2"/>
  <c r="G105" i="2"/>
  <c r="C105" i="21" s="1"/>
  <c r="C23" i="24" s="1"/>
  <c r="G14" i="2"/>
  <c r="F31" i="19"/>
  <c r="I24" i="18"/>
  <c r="E99" i="2"/>
  <c r="D28" i="18"/>
  <c r="D34" i="14" s="1"/>
  <c r="E17" i="18"/>
  <c r="I43" i="10"/>
  <c r="I45" i="10" s="1"/>
  <c r="H9" i="14"/>
  <c r="I23" i="10"/>
  <c r="E21" i="10"/>
  <c r="E22" i="14"/>
  <c r="E96" i="2"/>
  <c r="E19" i="19"/>
  <c r="J29" i="2"/>
  <c r="G107" i="2"/>
  <c r="G15" i="14"/>
  <c r="I62" i="2"/>
  <c r="I14" i="14" s="1"/>
  <c r="F53" i="2"/>
  <c r="F31" i="2" s="1"/>
  <c r="F13" i="14" s="1"/>
  <c r="D99" i="2"/>
  <c r="I14" i="2"/>
  <c r="I105" i="2"/>
  <c r="F14" i="2"/>
  <c r="F103" i="2"/>
  <c r="F101" i="2" s="1"/>
  <c r="G43" i="10"/>
  <c r="G45" i="10" s="1"/>
  <c r="D98" i="2"/>
  <c r="D9" i="14"/>
  <c r="D29" i="2"/>
  <c r="I19" i="18"/>
  <c r="I18" i="18" s="1"/>
  <c r="I17" i="18" s="1"/>
  <c r="I9" i="14"/>
  <c r="C9" i="14"/>
  <c r="C29" i="2"/>
  <c r="H14" i="2"/>
  <c r="G101" i="2"/>
  <c r="E24" i="18"/>
  <c r="D38" i="19"/>
  <c r="D31" i="14" s="1"/>
  <c r="D24" i="18"/>
  <c r="D21" i="18" s="1"/>
  <c r="D29" i="14"/>
  <c r="H29" i="14"/>
  <c r="H24" i="18"/>
  <c r="C38" i="19"/>
  <c r="C31" i="14" s="1"/>
  <c r="C29" i="14"/>
  <c r="G31" i="10" l="1"/>
  <c r="B17" i="25"/>
  <c r="B25" i="25" s="1"/>
  <c r="E22" i="24"/>
  <c r="I31" i="10"/>
  <c r="G24" i="18"/>
  <c r="B21" i="25"/>
  <c r="C31" i="23"/>
  <c r="F108" i="2"/>
  <c r="C107" i="21"/>
  <c r="E107" i="21" s="1"/>
  <c r="E104" i="21"/>
  <c r="E20" i="20"/>
  <c r="C19" i="20"/>
  <c r="F19" i="20" s="1"/>
  <c r="E31" i="21"/>
  <c r="F31" i="21"/>
  <c r="D17" i="20"/>
  <c r="E7" i="26"/>
  <c r="C24" i="24"/>
  <c r="E46" i="20"/>
  <c r="F62" i="21"/>
  <c r="F98" i="21"/>
  <c r="D22" i="20"/>
  <c r="D93" i="21"/>
  <c r="E62" i="21"/>
  <c r="F20" i="20"/>
  <c r="F105" i="21"/>
  <c r="E105" i="21"/>
  <c r="F24" i="24"/>
  <c r="E24" i="24"/>
  <c r="D21" i="25"/>
  <c r="F21" i="25"/>
  <c r="F25" i="24"/>
  <c r="E25" i="24"/>
  <c r="F15" i="20"/>
  <c r="E15" i="20"/>
  <c r="F26" i="19"/>
  <c r="F22" i="19" s="1"/>
  <c r="B23" i="25"/>
  <c r="B27" i="25" s="1"/>
  <c r="D19" i="25"/>
  <c r="F19" i="25"/>
  <c r="E21" i="20"/>
  <c r="F21" i="20"/>
  <c r="C16" i="20"/>
  <c r="F14" i="21"/>
  <c r="C29" i="21"/>
  <c r="E14" i="21"/>
  <c r="F17" i="25"/>
  <c r="B20" i="25"/>
  <c r="D17" i="25"/>
  <c r="C33" i="20"/>
  <c r="E20" i="23"/>
  <c r="F20" i="23"/>
  <c r="F31" i="23"/>
  <c r="E31" i="23"/>
  <c r="E36" i="23"/>
  <c r="F36" i="23"/>
  <c r="C18" i="24"/>
  <c r="F19" i="24"/>
  <c r="E19" i="24"/>
  <c r="F38" i="25"/>
  <c r="F40" i="25" s="1"/>
  <c r="H38" i="25"/>
  <c r="H40" i="25" s="1"/>
  <c r="D40" i="25"/>
  <c r="C108" i="21"/>
  <c r="C20" i="24" s="1"/>
  <c r="C21" i="24" s="1"/>
  <c r="E101" i="21"/>
  <c r="F101" i="21"/>
  <c r="I27" i="10"/>
  <c r="G27" i="10"/>
  <c r="H10" i="14"/>
  <c r="H29" i="2"/>
  <c r="D11" i="14"/>
  <c r="D88" i="2"/>
  <c r="I23" i="18"/>
  <c r="I37" i="19"/>
  <c r="I30" i="14" s="1"/>
  <c r="J11" i="14"/>
  <c r="J88" i="2"/>
  <c r="E28" i="18"/>
  <c r="E34" i="14" s="1"/>
  <c r="E76" i="18"/>
  <c r="E18" i="19"/>
  <c r="E25" i="14" s="1"/>
  <c r="E23" i="14"/>
  <c r="E25" i="10"/>
  <c r="I21" i="10"/>
  <c r="E24" i="10"/>
  <c r="G21" i="10"/>
  <c r="G25" i="10" s="1"/>
  <c r="G10" i="14"/>
  <c r="I35" i="10"/>
  <c r="G35" i="10"/>
  <c r="G108" i="2"/>
  <c r="C88" i="2"/>
  <c r="C11" i="14"/>
  <c r="G29" i="2"/>
  <c r="F10" i="14"/>
  <c r="I10" i="14"/>
  <c r="I29" i="2"/>
  <c r="I108" i="2"/>
  <c r="E27" i="18"/>
  <c r="E26" i="14"/>
  <c r="G23" i="18"/>
  <c r="G37" i="19"/>
  <c r="C37" i="23" s="1"/>
  <c r="F29" i="2"/>
  <c r="E19" i="20" l="1"/>
  <c r="D27" i="24"/>
  <c r="D19" i="23"/>
  <c r="D28" i="20"/>
  <c r="D99" i="21"/>
  <c r="D27" i="20"/>
  <c r="D96" i="21"/>
  <c r="G30" i="14"/>
  <c r="F23" i="24"/>
  <c r="E23" i="24"/>
  <c r="C17" i="24"/>
  <c r="E18" i="24"/>
  <c r="F18" i="24"/>
  <c r="B29" i="25"/>
  <c r="D25" i="25"/>
  <c r="F25" i="25"/>
  <c r="D20" i="25"/>
  <c r="F20" i="25"/>
  <c r="F29" i="14"/>
  <c r="F24" i="18"/>
  <c r="F33" i="20"/>
  <c r="E33" i="20"/>
  <c r="C88" i="21"/>
  <c r="C17" i="20"/>
  <c r="E29" i="21"/>
  <c r="F29" i="21"/>
  <c r="F16" i="20"/>
  <c r="E16" i="20"/>
  <c r="F23" i="25"/>
  <c r="D23" i="25"/>
  <c r="F26" i="23"/>
  <c r="C22" i="23"/>
  <c r="E26" i="23"/>
  <c r="B24" i="25"/>
  <c r="B28" i="25" s="1"/>
  <c r="F88" i="2"/>
  <c r="F11" i="14"/>
  <c r="E28" i="10"/>
  <c r="I24" i="10"/>
  <c r="G24" i="10"/>
  <c r="I25" i="10"/>
  <c r="E29" i="10"/>
  <c r="H11" i="14"/>
  <c r="H88" i="2"/>
  <c r="I88" i="2"/>
  <c r="I11" i="14"/>
  <c r="G11" i="14"/>
  <c r="G88" i="2"/>
  <c r="C93" i="2"/>
  <c r="C16" i="14"/>
  <c r="J93" i="2"/>
  <c r="J16" i="14"/>
  <c r="J8" i="18"/>
  <c r="D93" i="2"/>
  <c r="D16" i="14"/>
  <c r="E9" i="26" l="1"/>
  <c r="E8" i="26"/>
  <c r="D32" i="20"/>
  <c r="D38" i="23"/>
  <c r="D37" i="20" s="1"/>
  <c r="D8" i="24"/>
  <c r="E10" i="26"/>
  <c r="D29" i="20"/>
  <c r="D24" i="25"/>
  <c r="F24" i="25"/>
  <c r="C35" i="20"/>
  <c r="E22" i="23"/>
  <c r="F22" i="23"/>
  <c r="B31" i="25"/>
  <c r="D27" i="25"/>
  <c r="F27" i="25"/>
  <c r="C93" i="21"/>
  <c r="C22" i="20"/>
  <c r="E88" i="21"/>
  <c r="F88" i="21"/>
  <c r="F29" i="25"/>
  <c r="D29" i="25"/>
  <c r="C36" i="20"/>
  <c r="E37" i="23"/>
  <c r="F37" i="23"/>
  <c r="F17" i="20"/>
  <c r="E17" i="20"/>
  <c r="F17" i="24"/>
  <c r="E17" i="24"/>
  <c r="J94" i="2"/>
  <c r="J96" i="2" s="1"/>
  <c r="J21" i="14"/>
  <c r="C8" i="18"/>
  <c r="C96" i="2"/>
  <c r="C23" i="14" s="1"/>
  <c r="C21" i="14"/>
  <c r="I16" i="14"/>
  <c r="I93" i="2"/>
  <c r="I8" i="18"/>
  <c r="D96" i="2"/>
  <c r="D23" i="14" s="1"/>
  <c r="D21" i="14"/>
  <c r="G16" i="14"/>
  <c r="G8" i="18"/>
  <c r="G93" i="2"/>
  <c r="H93" i="2"/>
  <c r="H8" i="18"/>
  <c r="H16" i="14"/>
  <c r="G29" i="10"/>
  <c r="E33" i="10"/>
  <c r="I29" i="10"/>
  <c r="E32" i="10"/>
  <c r="G28" i="10"/>
  <c r="I28" i="10"/>
  <c r="F8" i="18"/>
  <c r="F16" i="14"/>
  <c r="C8" i="24" l="1"/>
  <c r="F8" i="24" s="1"/>
  <c r="E8" i="24"/>
  <c r="F36" i="20"/>
  <c r="E36" i="20"/>
  <c r="C27" i="20"/>
  <c r="F93" i="21"/>
  <c r="E93" i="21"/>
  <c r="C94" i="21"/>
  <c r="C27" i="24" s="1"/>
  <c r="F35" i="20"/>
  <c r="E35" i="20"/>
  <c r="B32" i="25"/>
  <c r="D28" i="25"/>
  <c r="F28" i="25"/>
  <c r="E22" i="20"/>
  <c r="F22" i="20"/>
  <c r="F31" i="25"/>
  <c r="D31" i="25"/>
  <c r="G94" i="2"/>
  <c r="F93" i="2"/>
  <c r="G96" i="2"/>
  <c r="G21" i="14"/>
  <c r="I94" i="2"/>
  <c r="I21" i="14"/>
  <c r="I96" i="2"/>
  <c r="J28" i="18"/>
  <c r="J76" i="18"/>
  <c r="J18" i="19"/>
  <c r="J23" i="14"/>
  <c r="G32" i="10"/>
  <c r="E36" i="10"/>
  <c r="I32" i="10"/>
  <c r="I33" i="10"/>
  <c r="G33" i="10"/>
  <c r="H94" i="2"/>
  <c r="H21" i="14"/>
  <c r="J27" i="18"/>
  <c r="J19" i="19"/>
  <c r="J26" i="14" s="1"/>
  <c r="J22" i="14"/>
  <c r="J99" i="2"/>
  <c r="D44" i="20" l="1"/>
  <c r="F27" i="20"/>
  <c r="E27" i="20"/>
  <c r="C96" i="21"/>
  <c r="C78" i="24" s="1"/>
  <c r="C28" i="20"/>
  <c r="F94" i="21"/>
  <c r="E94" i="21"/>
  <c r="E99" i="21" s="1"/>
  <c r="C99" i="21"/>
  <c r="F99" i="21" s="1"/>
  <c r="D32" i="25"/>
  <c r="F32" i="25"/>
  <c r="H27" i="18"/>
  <c r="H22" i="14"/>
  <c r="H19" i="19"/>
  <c r="H26" i="14" s="1"/>
  <c r="H99" i="2"/>
  <c r="J25" i="14"/>
  <c r="J38" i="19"/>
  <c r="J31" i="14" s="1"/>
  <c r="J34" i="14"/>
  <c r="J20" i="18"/>
  <c r="J21" i="18" s="1"/>
  <c r="F21" i="14"/>
  <c r="F96" i="2"/>
  <c r="F94" i="2"/>
  <c r="H96" i="2"/>
  <c r="G36" i="10"/>
  <c r="I36" i="10"/>
  <c r="I76" i="18"/>
  <c r="I75" i="18" s="1"/>
  <c r="I18" i="19"/>
  <c r="I23" i="14"/>
  <c r="I28" i="18"/>
  <c r="I22" i="14"/>
  <c r="I19" i="19"/>
  <c r="I26" i="14" s="1"/>
  <c r="I27" i="18"/>
  <c r="I99" i="2"/>
  <c r="G76" i="18"/>
  <c r="G75" i="18" s="1"/>
  <c r="G72" i="18" s="1"/>
  <c r="G28" i="18"/>
  <c r="G23" i="14"/>
  <c r="G19" i="19"/>
  <c r="C19" i="23" s="1"/>
  <c r="G27" i="18"/>
  <c r="G22" i="14"/>
  <c r="G99" i="2"/>
  <c r="C32" i="20" l="1"/>
  <c r="F19" i="23"/>
  <c r="E19" i="23"/>
  <c r="F27" i="24"/>
  <c r="E27" i="24"/>
  <c r="F28" i="20"/>
  <c r="E28" i="20"/>
  <c r="C29" i="20"/>
  <c r="E96" i="21"/>
  <c r="F96" i="21"/>
  <c r="G38" i="19"/>
  <c r="G31" i="14" s="1"/>
  <c r="G26" i="14"/>
  <c r="G20" i="18"/>
  <c r="G21" i="18" s="1"/>
  <c r="G34" i="14"/>
  <c r="I34" i="14"/>
  <c r="I20" i="18"/>
  <c r="I21" i="18" s="1"/>
  <c r="I38" i="19"/>
  <c r="I31" i="14" s="1"/>
  <c r="I25" i="14"/>
  <c r="H76" i="18"/>
  <c r="H75" i="18" s="1"/>
  <c r="C77" i="24" s="1"/>
  <c r="C74" i="24" s="1"/>
  <c r="H28" i="18"/>
  <c r="H23" i="14"/>
  <c r="H18" i="19"/>
  <c r="C18" i="23" s="1"/>
  <c r="C38" i="23" s="1"/>
  <c r="F23" i="14"/>
  <c r="F76" i="18"/>
  <c r="F75" i="18" s="1"/>
  <c r="F18" i="19"/>
  <c r="F28" i="18"/>
  <c r="G38" i="14"/>
  <c r="I72" i="18"/>
  <c r="I38" i="14"/>
  <c r="F19" i="19"/>
  <c r="F26" i="14" s="1"/>
  <c r="F22" i="14"/>
  <c r="F27" i="18"/>
  <c r="F99" i="2"/>
  <c r="F18" i="23" l="1"/>
  <c r="C31" i="20"/>
  <c r="E18" i="23"/>
  <c r="E29" i="20"/>
  <c r="F29" i="20"/>
  <c r="C37" i="20"/>
  <c r="E38" i="23"/>
  <c r="F38" i="23"/>
  <c r="C44" i="20"/>
  <c r="F32" i="20"/>
  <c r="E32" i="20"/>
  <c r="F34" i="14"/>
  <c r="F20" i="18"/>
  <c r="F21" i="18" s="1"/>
  <c r="F72" i="18"/>
  <c r="F38" i="14"/>
  <c r="H25" i="14"/>
  <c r="H38" i="19"/>
  <c r="H31" i="14" s="1"/>
  <c r="H34" i="14"/>
  <c r="H20" i="18"/>
  <c r="H21" i="18" s="1"/>
  <c r="F25" i="14"/>
  <c r="F38" i="19"/>
  <c r="F31" i="14" s="1"/>
  <c r="H72" i="18"/>
  <c r="H38" i="14"/>
  <c r="F31" i="20" l="1"/>
  <c r="E31" i="20"/>
  <c r="E77" i="24"/>
  <c r="F77" i="24"/>
  <c r="E37" i="20"/>
  <c r="F37" i="20"/>
  <c r="F74" i="24" l="1"/>
  <c r="E74" i="24"/>
  <c r="C28" i="24" l="1"/>
  <c r="C40" i="20" l="1"/>
  <c r="E108" i="21" l="1"/>
  <c r="D20" i="24"/>
  <c r="F108" i="21"/>
  <c r="F107" i="21"/>
  <c r="D21" i="24" l="1"/>
  <c r="D28" i="24"/>
  <c r="F20" i="24"/>
  <c r="E20" i="24"/>
  <c r="D78" i="24" l="1"/>
  <c r="D84" i="24"/>
  <c r="F21" i="24"/>
  <c r="E21" i="24"/>
  <c r="D40" i="20"/>
  <c r="F28" i="24"/>
  <c r="E28" i="24"/>
  <c r="F78" i="24" l="1"/>
  <c r="E78" i="24"/>
  <c r="F40" i="20"/>
  <c r="E40" i="20"/>
</calcChain>
</file>

<file path=xl/comments1.xml><?xml version="1.0" encoding="utf-8"?>
<comments xmlns="http://schemas.openxmlformats.org/spreadsheetml/2006/main">
  <authors>
    <author>User</author>
  </authors>
  <commentList>
    <comment ref="D10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784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414,0
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  <charset val="204"/>
          </rPr>
          <t>60,6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16,3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Пользователь Windows</author>
    <author>Admin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  <charset val="204"/>
          </rPr>
          <t>Ф-2, код р.2515</t>
        </r>
        <r>
          <rPr>
            <sz val="9"/>
            <color indexed="81"/>
            <rFont val="Tahoma"/>
            <family val="2"/>
            <charset val="204"/>
          </rPr>
          <t xml:space="preserve">
та Витрати 2018 пстр.181+інші операт витрати  або фінрез код строчки 1290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  <charset val="204"/>
          </rPr>
          <t>рух коштів з ПДВ
кап інвестиц*1,2</t>
        </r>
      </text>
    </comment>
    <comment ref="D72" authorId="0" shapeId="0">
      <text>
        <r>
          <rPr>
            <b/>
            <sz val="9"/>
            <color indexed="81"/>
            <rFont val="Tahoma"/>
            <family val="2"/>
            <charset val="204"/>
          </rPr>
          <t>маржа+% банку</t>
        </r>
        <r>
          <rPr>
            <sz val="9"/>
            <color indexed="81"/>
            <rFont val="Tahoma"/>
            <family val="2"/>
            <charset val="204"/>
          </rPr>
          <t xml:space="preserve">
лист витрати або фін результати по коду п.1150</t>
        </r>
      </text>
    </comment>
    <comment ref="D75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баланс код1165
</t>
        </r>
      </text>
    </comment>
    <comment ref="D77" authorId="1" shapeId="0">
      <text>
        <r>
          <rPr>
            <b/>
            <sz val="8"/>
            <color indexed="81"/>
            <rFont val="Tahoma"/>
            <family val="2"/>
            <charset val="204"/>
          </rPr>
          <t>баланс код 1165</t>
        </r>
      </text>
    </comment>
  </commentList>
</comments>
</file>

<file path=xl/sharedStrings.xml><?xml version="1.0" encoding="utf-8"?>
<sst xmlns="http://schemas.openxmlformats.org/spreadsheetml/2006/main" count="1152" uniqueCount="550">
  <si>
    <t>Код рядка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</si>
  <si>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</si>
  <si>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</si>
  <si>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</si>
  <si>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</si>
  <si>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</si>
  <si>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</si>
  <si>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витрати на страхові послуги</t>
  </si>
  <si>
    <t>витрати на аудиторські послуги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</si>
  <si>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</si>
  <si>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</si>
  <si>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</si>
  <si>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</si>
  <si>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</si>
  <si>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</si>
  <si>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</si>
  <si>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</si>
  <si>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</si>
  <si>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</si>
  <si>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</si>
  <si>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</si>
  <si>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</si>
  <si>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</si>
  <si>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</si>
  <si>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</si>
  <si>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</si>
  <si>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</si>
  <si>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</si>
  <si>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</si>
  <si>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</si>
  <si>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</si>
  <si>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</si>
  <si>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</si>
  <si>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</si>
  <si>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</si>
  <si>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</si>
  <si>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</si>
  <si>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</si>
  <si>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</si>
  <si>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</si>
  <si>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</si>
  <si>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</si>
  <si>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</si>
  <si>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</si>
  <si>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</si>
  <si>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</si>
  <si>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</si>
  <si>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</si>
  <si>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</si>
  <si>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</si>
  <si>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</si>
  <si>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>Процентна ставка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</si>
  <si>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</si>
  <si>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</si>
  <si>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</si>
  <si>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ІV </t>
  </si>
  <si>
    <t>за минулий рік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</si>
  <si>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</si>
  <si>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</si>
  <si>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</si>
  <si>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</si>
  <si>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</si>
  <si>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</si>
  <si>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</si>
  <si>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</si>
  <si>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Заборгованість на останню дату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</si>
  <si>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</si>
  <si>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</si>
  <si>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</si>
  <si>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</si>
  <si>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</si>
  <si>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</si>
  <si>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</si>
  <si>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</si>
  <si>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</si>
  <si>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</si>
  <si>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І. Формування фінансових результатів</t>
  </si>
  <si>
    <t>плата за користування надрами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</si>
  <si>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</si>
  <si>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</si>
  <si>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</si>
  <si>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</si>
  <si>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</si>
  <si>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</si>
  <si>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</si>
  <si>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Інші фінансові доходи (розшифрувати)</t>
  </si>
  <si>
    <t>Фінансові витрати (розшифрувати)</t>
  </si>
  <si>
    <t>Інші витрати (розшифрувати)</t>
  </si>
  <si>
    <t>Інші фонди (розшифрувати)</t>
  </si>
  <si>
    <t>Інші цілі (розшифрувати)</t>
  </si>
  <si>
    <t>Усього витрат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</si>
  <si>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</si>
  <si>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</si>
  <si>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</si>
  <si>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</si>
  <si>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</si>
  <si>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</si>
  <si>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</si>
  <si>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</si>
  <si>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</si>
  <si>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</si>
  <si>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</si>
  <si>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</si>
  <si>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</si>
  <si>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Плановий 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</si>
  <si>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</si>
  <si>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</si>
  <si>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</si>
  <si>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</si>
  <si>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</si>
  <si>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</si>
  <si>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</si>
  <si>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</si>
  <si>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Розподіл чистого прибутку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</si>
  <si>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</si>
  <si>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</si>
  <si>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</si>
  <si>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</si>
  <si>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</si>
  <si>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</si>
  <si>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</si>
  <si>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</si>
  <si>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</si>
  <si>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відсотків </t>
  </si>
  <si>
    <t>дивідендів </t>
  </si>
  <si>
    <t>Надходження від деривативів</t>
  </si>
  <si>
    <t>Власного капіталу </t>
  </si>
  <si>
    <t xml:space="preserve">Вплив зміни валютних курсів на залишок коштів </t>
  </si>
  <si>
    <t>погашення податкового боргу, у тому числі:</t>
  </si>
  <si>
    <t>Собівартість реалізованої продукції (товарів, робіт, послуг)</t>
  </si>
  <si>
    <t xml:space="preserve">Прибуток (збиток) від звичайної діяльності до оподаткування </t>
  </si>
  <si>
    <t>Коригування на: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</si>
  <si>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</si>
  <si>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</si>
  <si>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</si>
  <si>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</si>
  <si>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</si>
  <si>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</si>
  <si>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</si>
  <si>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</si>
  <si>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</si>
  <si>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 xml:space="preserve">І  </t>
  </si>
  <si>
    <t xml:space="preserve">ІІ  </t>
  </si>
  <si>
    <t xml:space="preserve">ІІІ  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</si>
  <si>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</si>
  <si>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</si>
  <si>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</si>
  <si>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</si>
  <si>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</si>
  <si>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</si>
  <si>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</si>
  <si>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</si>
  <si>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</si>
  <si>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</si>
  <si>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</si>
  <si>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</si>
  <si>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</si>
  <si>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</si>
  <si>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</si>
  <si>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Капітальні інвестиції</t>
  </si>
  <si>
    <t>IV. Капітальні інвестиції</t>
  </si>
  <si>
    <t xml:space="preserve">IV. Капітальні інвестиції 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</si>
  <si>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</si>
  <si>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</si>
  <si>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</si>
  <si>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</si>
  <si>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</si>
  <si>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</si>
  <si>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Адміністративні витрати, у тому числі:</t>
  </si>
  <si>
    <t>Витрати на збут, у тому числі: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</si>
  <si>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</si>
  <si>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</si>
  <si>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</si>
  <si>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Найменування об’єкта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</si>
  <si>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</si>
  <si>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</si>
  <si>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</si>
  <si>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                      (посада)</t>
  </si>
  <si>
    <r>
      <t xml:space="preserve">Керівник </t>
    </r>
    <r>
      <rPr>
        <sz val="14"/>
        <rFont val="Times New Roman"/>
        <family val="1"/>
        <charset val="204"/>
      </rPr>
      <t xml:space="preserve"> __________________________________</t>
    </r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</si>
  <si>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</si>
  <si>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</si>
  <si>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</si>
  <si>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</si>
  <si>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</si>
  <si>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Дивіденди/відрахування частини чистого прибутку</t>
  </si>
  <si>
    <t>Усього виплат на користь держави</t>
  </si>
  <si>
    <t>I. Формування фінансових результатів</t>
  </si>
  <si>
    <t>Надходження</t>
  </si>
  <si>
    <t xml:space="preserve">Надходження </t>
  </si>
  <si>
    <t>Витрати</t>
  </si>
  <si>
    <t>Фонд оплати праці, тис. гривень, у тому числі:</t>
  </si>
  <si>
    <t>Витрати на оплату праці, тис. гривень, у тому числі:</t>
  </si>
  <si>
    <t>адміністративно-управлінський персонал</t>
  </si>
  <si>
    <t xml:space="preserve">                    (підпис)</t>
  </si>
  <si>
    <r>
      <t xml:space="preserve">Керівник </t>
    </r>
    <r>
      <rPr>
        <sz val="14"/>
        <rFont val="Times New Roman"/>
        <family val="1"/>
        <charset val="204"/>
      </rPr>
      <t>______________________________</t>
    </r>
  </si>
  <si>
    <t xml:space="preserve">                                     (посада)</t>
  </si>
  <si>
    <t xml:space="preserve">                                        (посада)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</si>
  <si>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</si>
  <si>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</si>
  <si>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</si>
  <si>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</si>
  <si>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</si>
  <si>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</si>
  <si>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</si>
  <si>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</si>
  <si>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</si>
  <si>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</si>
  <si>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</si>
  <si>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</si>
  <si>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</si>
  <si>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</si>
  <si>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</si>
  <si>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</si>
  <si>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</si>
  <si>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</si>
  <si>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</si>
  <si>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</si>
  <si>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</si>
  <si>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</si>
  <si>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               (підпис)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</si>
  <si>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</si>
  <si>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</si>
  <si>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 xml:space="preserve">      Загальна інформація про підприємство (резюме)</t>
  </si>
  <si>
    <t>Мета використання</t>
  </si>
  <si>
    <t>План з повернення коштів</t>
  </si>
  <si>
    <t>План із залучення коштів</t>
  </si>
  <si>
    <t xml:space="preserve">Доходи </t>
  </si>
  <si>
    <t>Податок на додану вартість</t>
  </si>
  <si>
    <t>Інші вирахування з доходу (розшифрувати)</t>
  </si>
  <si>
    <t>від комерційної діяльності</t>
  </si>
  <si>
    <t>від державного бюджету</t>
  </si>
  <si>
    <t>від місцевого бюджету</t>
  </si>
  <si>
    <t xml:space="preserve">      3. Діючі фінансові зобов'язання підприємства</t>
  </si>
  <si>
    <t xml:space="preserve">      4. Інформація щодо отримання та повернення залучених коштів</t>
  </si>
  <si>
    <t xml:space="preserve">      7. Джерела капітальних інвестицій</t>
  </si>
  <si>
    <t>Сума, валюта за договорами</t>
  </si>
  <si>
    <t>у тому числі за їх видами</t>
  </si>
  <si>
    <t xml:space="preserve">I </t>
  </si>
  <si>
    <t>II</t>
  </si>
  <si>
    <t>III</t>
  </si>
  <si>
    <t>IV</t>
  </si>
  <si>
    <t>Інші операційні доходи</t>
  </si>
  <si>
    <t>Інші доходи</t>
  </si>
  <si>
    <t>Інші витрати</t>
  </si>
  <si>
    <t>Фінансовий результат від операційної діяльності: прибуток/збиток</t>
  </si>
  <si>
    <t>Фінансовий результат до оподаткування: прибуток/збиток</t>
  </si>
  <si>
    <t>Фінансовий результат до оподаткування:  прибуток/збиток</t>
  </si>
  <si>
    <t>Чистий  фінансовий результат: прибуток/збиток</t>
  </si>
  <si>
    <t>Відрахування частини чистого прибутку до міського бюджету</t>
  </si>
  <si>
    <t xml:space="preserve">      2. Інформація про бізнес підприємства (код рядка 1040 "чистий дохід від реалізації продукції ( товарів, робіт, послуг)" фінансового плану)</t>
  </si>
  <si>
    <t xml:space="preserve">       5. Витрати, пов'язані з використанням власних службових автомобілів (у складі адміністративних витрат, рядок 1081)</t>
  </si>
  <si>
    <t xml:space="preserve">       6. Витрати на оренду службових автомобілів (у складі адміністративних витрат, рядок 1082)</t>
  </si>
  <si>
    <t>Доходи від фінансової діяльності</t>
  </si>
  <si>
    <t>Витрати від фінансової діяльності</t>
  </si>
  <si>
    <t xml:space="preserve">      8.  Капітальне будівництво (рядок 4010 таблиці 4)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</si>
  <si>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</si>
  <si>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</si>
  <si>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освоєння капітальних вкладень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</si>
  <si>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</si>
  <si>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</si>
  <si>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</si>
  <si>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</si>
  <si>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</si>
  <si>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фінансування капітальних інвестицій (оплата грошовими коштами), усього</t>
  </si>
  <si>
    <t>власні кошти</t>
  </si>
  <si>
    <t>кредитні кошти</t>
  </si>
  <si>
    <t>у тому числі</t>
  </si>
  <si>
    <t xml:space="preserve">Зокрема за кварталами </t>
  </si>
  <si>
    <r>
      <t xml:space="preserve">Керівник </t>
    </r>
    <r>
      <rPr>
        <sz val="12"/>
        <rFont val="Times New Roman"/>
        <family val="1"/>
        <charset val="204"/>
      </rPr>
      <t>_______________________________</t>
    </r>
  </si>
  <si>
    <t xml:space="preserve">                                                            1. Дані про підприємство, персонал та фонд заробітної плати</t>
  </si>
  <si>
    <t>Нарахування на заробітну плату</t>
  </si>
  <si>
    <t>витрати на газопостачання</t>
  </si>
  <si>
    <t>охорона обєкту</t>
  </si>
  <si>
    <t>витрати на водопостачання</t>
  </si>
  <si>
    <t xml:space="preserve">підписні видання </t>
  </si>
  <si>
    <t>Матеріальні витрати</t>
  </si>
  <si>
    <t>послуги банку</t>
  </si>
  <si>
    <t>матеріальні вирати</t>
  </si>
  <si>
    <t>Інші операційні витрати (розшифрувати)</t>
  </si>
  <si>
    <t>оренда приміщення</t>
  </si>
  <si>
    <t>інші витрати на збут (розшифрувати)в т.ч.</t>
  </si>
  <si>
    <t>інші адміністративні витрати (розшифрувати) в т.ч.</t>
  </si>
  <si>
    <t xml:space="preserve">інші операційні витрати (розшифрувати) в т.ч. </t>
  </si>
  <si>
    <t xml:space="preserve">Збір за спецводокористування </t>
  </si>
  <si>
    <t>Відшкодування земельного податку</t>
  </si>
  <si>
    <t>Екологічний податок</t>
  </si>
  <si>
    <t>інші витрати (розшифрувати) в т.ч.</t>
  </si>
  <si>
    <t>Вивіз ТПВ</t>
  </si>
  <si>
    <t xml:space="preserve">витрати на зв'язок </t>
  </si>
  <si>
    <t>найманий транспорт</t>
  </si>
  <si>
    <t>Водопостачання</t>
  </si>
  <si>
    <t>Газопостачання</t>
  </si>
  <si>
    <t xml:space="preserve">зв'язок </t>
  </si>
  <si>
    <t>обслуговування РРО</t>
  </si>
  <si>
    <t>дивіденди</t>
  </si>
  <si>
    <t>Відшкодування  податку за землю</t>
  </si>
  <si>
    <t>Ритуальні послуги</t>
  </si>
  <si>
    <t>службова</t>
  </si>
  <si>
    <t>Витрати, всього</t>
  </si>
  <si>
    <t>Мета викори-стання</t>
  </si>
  <si>
    <t>"Комбінат комунальних підприємств" Черкаської міської ради</t>
  </si>
  <si>
    <t>ФІНАНСОВИЙ  ПЛАН  КОМУНАЛЬНОГО  ПІДПРИЄМСТВА</t>
  </si>
  <si>
    <t xml:space="preserve">Інформація </t>
  </si>
  <si>
    <t>Валовий прибуток /збиток</t>
  </si>
  <si>
    <t>Надходження від:</t>
  </si>
  <si>
    <t>РеалізаціЇ продукції  (товарів,робіт,послуг)</t>
  </si>
  <si>
    <t>Витрачання на оплату:</t>
  </si>
  <si>
    <t>Товарів(робіт,послуг)</t>
  </si>
  <si>
    <t>Працівникам</t>
  </si>
  <si>
    <t>Зобовязань з податків і зборів</t>
  </si>
  <si>
    <t>Грошові кошти від операційної діяльності,у т.ч.</t>
  </si>
  <si>
    <t>Витрачання на оплату зобовязань з ПДВ:</t>
  </si>
  <si>
    <t>3070/1</t>
  </si>
  <si>
    <t>3070/2</t>
  </si>
  <si>
    <t>Інші витрачання</t>
  </si>
  <si>
    <t>3070/1/1.</t>
  </si>
  <si>
    <t>3070/2/1.</t>
  </si>
  <si>
    <t>3070/2/2.</t>
  </si>
  <si>
    <t>3070/2/3.</t>
  </si>
  <si>
    <t>3070/2/4.</t>
  </si>
  <si>
    <t>3070/2/5.</t>
  </si>
  <si>
    <t>3070/2/6.</t>
  </si>
  <si>
    <t>капітальне будівництво</t>
  </si>
  <si>
    <t>модернізація, модифікація (добудова, дообладнання, реконструкція) основних засобів,в т.ч.</t>
  </si>
  <si>
    <t>4020/1</t>
  </si>
  <si>
    <t>А. Г. Бейн</t>
  </si>
  <si>
    <t>А.Г. Бейн</t>
  </si>
  <si>
    <t>________________________</t>
  </si>
  <si>
    <t>КП"Комбінат комунальних підприємств" Черкаської міської ради</t>
  </si>
  <si>
    <t>План рік</t>
  </si>
  <si>
    <t>у т.ч. за кварталами</t>
  </si>
  <si>
    <t>Плано-вий рік</t>
  </si>
  <si>
    <t>1992, 2006</t>
  </si>
  <si>
    <t>Ваз -2121, Шевролет</t>
  </si>
  <si>
    <r>
      <t>Керівник</t>
    </r>
    <r>
      <rPr>
        <sz val="12"/>
        <rFont val="Times New Roman"/>
        <family val="1"/>
        <charset val="204"/>
      </rPr>
      <t xml:space="preserve">   _____________________________________</t>
    </r>
  </si>
  <si>
    <t>1058/1</t>
  </si>
  <si>
    <t>1058/2</t>
  </si>
  <si>
    <t>1058/3</t>
  </si>
  <si>
    <t>1058/4</t>
  </si>
  <si>
    <t>1058/5</t>
  </si>
  <si>
    <t>1058/6</t>
  </si>
  <si>
    <t>1116/1</t>
  </si>
  <si>
    <t>1116/2</t>
  </si>
  <si>
    <t>1116/3</t>
  </si>
  <si>
    <t>1116/4</t>
  </si>
  <si>
    <t>1116/5</t>
  </si>
  <si>
    <t>1116/6</t>
  </si>
  <si>
    <t>1116/7</t>
  </si>
  <si>
    <t>1116/8</t>
  </si>
  <si>
    <t>1116/9</t>
  </si>
  <si>
    <t>1113/1</t>
  </si>
  <si>
    <t>2147/1</t>
  </si>
  <si>
    <t>2147/2</t>
  </si>
  <si>
    <t>2147/3</t>
  </si>
  <si>
    <t>Екологічний збір</t>
  </si>
  <si>
    <t>Збір за спецводокористування</t>
  </si>
  <si>
    <t>2147/4</t>
  </si>
  <si>
    <t>2147/5</t>
  </si>
  <si>
    <t>Військовий збір</t>
  </si>
  <si>
    <t>-</t>
  </si>
  <si>
    <t>4050/3</t>
  </si>
  <si>
    <t xml:space="preserve"> </t>
  </si>
  <si>
    <t>інші джерела (зазначити дже-рело)</t>
  </si>
  <si>
    <t>придбання (виготовлення) основних засобів ,  в т.ч.</t>
  </si>
  <si>
    <t xml:space="preserve">                Керівник </t>
  </si>
  <si>
    <t xml:space="preserve">Реконструкція Будинку Трауру (внутрішньо-оздоблювальні роботи) </t>
  </si>
  <si>
    <t>Капітальний  ремонт прибудинкової території будівлі "Будинку Трауру"</t>
  </si>
  <si>
    <t xml:space="preserve">Реконструкція  існуючих мереж зовнішнього освітлення меморіального комплексу "Пагорб  Слави " </t>
  </si>
  <si>
    <t>4050/2</t>
  </si>
  <si>
    <t>4050/4</t>
  </si>
  <si>
    <t xml:space="preserve">   </t>
  </si>
  <si>
    <t>4020/2</t>
  </si>
  <si>
    <t>2017рік</t>
  </si>
  <si>
    <t>обслуговування компютера,підписні видання</t>
  </si>
  <si>
    <t>Придбання автомобіля МАЗ 437№2Супер Міні( для вивезення сміття з кладовищ міста)</t>
  </si>
  <si>
    <t>витрати на поліпшення основних фондів (поточний ремонт)</t>
  </si>
  <si>
    <t>Доходи (виручка) від реалізації продукції (товарів, робіт,послуг)</t>
  </si>
  <si>
    <t>Факт минулого  року</t>
  </si>
  <si>
    <t>Фінансовий план поточного року року</t>
  </si>
  <si>
    <t>Прогноз на поточний рік</t>
  </si>
  <si>
    <t>Факт минулого року</t>
  </si>
  <si>
    <t>Фінансовий план поточного року</t>
  </si>
  <si>
    <t>Фінансовий план  поточного року</t>
  </si>
  <si>
    <t>Плановий  рік (усього)</t>
  </si>
  <si>
    <t>Плановий рік (усього)</t>
  </si>
  <si>
    <r>
      <t xml:space="preserve">на </t>
    </r>
    <r>
      <rPr>
        <b/>
        <u/>
        <sz val="12"/>
        <rFont val="Times New Roman"/>
        <family val="1"/>
        <charset val="204"/>
      </rPr>
      <t>2019</t>
    </r>
    <r>
      <rPr>
        <b/>
        <sz val="12"/>
        <rFont val="Times New Roman"/>
        <family val="1"/>
        <charset val="204"/>
      </rPr>
      <t xml:space="preserve"> рік</t>
    </r>
  </si>
  <si>
    <t>Факт    минулого  року</t>
  </si>
  <si>
    <r>
      <t xml:space="preserve"> до фінансового плану на </t>
    </r>
    <r>
      <rPr>
        <b/>
        <u/>
        <sz val="14"/>
        <rFont val="Times New Roman"/>
        <family val="1"/>
        <charset val="204"/>
      </rPr>
      <t xml:space="preserve">2019 </t>
    </r>
    <r>
      <rPr>
        <b/>
        <sz val="14"/>
        <rFont val="Times New Roman"/>
        <family val="1"/>
        <charset val="204"/>
      </rPr>
      <t>рік</t>
    </r>
  </si>
  <si>
    <t>План поточного року</t>
  </si>
  <si>
    <t>Прогноз на поточний</t>
  </si>
  <si>
    <t>Плановий рік до прогнозу на поточний рік, %</t>
  </si>
  <si>
    <t>Плановий рік до факту минулого року, %</t>
  </si>
  <si>
    <t>за плановий рік</t>
  </si>
  <si>
    <t xml:space="preserve">Фактичний показник поточного року </t>
  </si>
  <si>
    <t>Плановий 2019рік</t>
  </si>
  <si>
    <t>Плановий показник поточного 2018року</t>
  </si>
  <si>
    <t>План на 2019р.</t>
  </si>
  <si>
    <t>Заробітна плата</t>
  </si>
  <si>
    <t>12,0</t>
  </si>
  <si>
    <t>2,6</t>
  </si>
  <si>
    <t>1,4</t>
  </si>
  <si>
    <t>159,9</t>
  </si>
  <si>
    <t>143,9</t>
  </si>
  <si>
    <t xml:space="preserve">Придбання 50 контейнерів для збирання твердих побутових відходів 1,1м3 на кладовище міста </t>
  </si>
  <si>
    <t xml:space="preserve">Придбання 50 контейнерів  для збирання твердих побутових відходів 1,1м3 на кладовище міста </t>
  </si>
  <si>
    <t>Придбання   автомобіля (автомобіля вантажопасажирського)марки FORD TRANSIT Y363 Kombi          для транспортування до моргу померлих на судмедекспертизу</t>
  </si>
  <si>
    <t>4020/3</t>
  </si>
  <si>
    <t>4020/4</t>
  </si>
  <si>
    <t>План    рік     2019 (усього)</t>
  </si>
  <si>
    <t>Придбання   автобуса (автомобіля вантажопасажирського) марки АТАМАН АО 92G8 для перевезення людей під час проведення поховання</t>
  </si>
  <si>
    <t>Фактичний      показник за 2017рік</t>
  </si>
  <si>
    <t>Заборгованість за кредитами на початок____року</t>
  </si>
  <si>
    <t>план</t>
  </si>
  <si>
    <t xml:space="preserve">факт </t>
  </si>
  <si>
    <t>Звітний період</t>
  </si>
  <si>
    <t>факт</t>
  </si>
  <si>
    <t>відхилення, +/-</t>
  </si>
  <si>
    <t>Керівник підприємства</t>
  </si>
  <si>
    <t>виконання,%</t>
  </si>
  <si>
    <t>пояснення та обгрунтування відхилення від запланованого рівня доходів/витрат</t>
  </si>
  <si>
    <t>нарахування на заробітну плату</t>
  </si>
  <si>
    <t>Збільшення  вартості послуг</t>
  </si>
  <si>
    <t>Витрати не здійснювалися внаслідок відсутності фінансового ресурсу</t>
  </si>
  <si>
    <t>Збільшення вартості матеріалів</t>
  </si>
  <si>
    <t>Збільшення вартості послуг</t>
  </si>
  <si>
    <t xml:space="preserve">Збільшення вартості послуг 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</si>
  <si>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</si>
  <si>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 xml:space="preserve">Девіденди </t>
  </si>
  <si>
    <t>Відшкодування податку на землю</t>
  </si>
  <si>
    <t>Збір за спец.водокористування</t>
  </si>
  <si>
    <t>_____________________</t>
  </si>
  <si>
    <t xml:space="preserve">             (посада)</t>
  </si>
  <si>
    <t xml:space="preserve">       (ініціали, прізвище)    </t>
  </si>
  <si>
    <t xml:space="preserve"> А.Г. Бейн</t>
  </si>
  <si>
    <t>ЗВІТ</t>
  </si>
  <si>
    <t xml:space="preserve"> "Комбінат комунальних підприємств" Черкаської міської ради</t>
  </si>
  <si>
    <t>Витрати від фінансової  діяльності</t>
  </si>
  <si>
    <t xml:space="preserve">                  (посада)</t>
  </si>
  <si>
    <r>
      <t xml:space="preserve"> </t>
    </r>
    <r>
      <rPr>
        <u/>
        <sz val="14"/>
        <rFont val="Times New Roman"/>
        <family val="1"/>
        <charset val="204"/>
      </rPr>
      <t>Керівник підприємства</t>
    </r>
  </si>
  <si>
    <t>Зобов’язань з податків і зборів</t>
  </si>
  <si>
    <t>Витрачання на оплату зобов’язань з ПДВ:</t>
  </si>
  <si>
    <t>Надходження від отриманих:</t>
  </si>
  <si>
    <t xml:space="preserve">   (посада)</t>
  </si>
  <si>
    <t>_______</t>
  </si>
  <si>
    <t>придбання (виготовлення) основних засобів  -всього, в т.ч.</t>
  </si>
  <si>
    <t>модернізація, модифікація (добудова, дообладнання, реконструкція) основних засобів, в т.ч.</t>
  </si>
  <si>
    <t>4050/1</t>
  </si>
  <si>
    <t xml:space="preserve">      (ініціали, прізвище)    </t>
  </si>
  <si>
    <t>А. Г.  Бейн</t>
  </si>
  <si>
    <t>Оптимальне значення</t>
  </si>
  <si>
    <t>Факт відповідного періоду минулого року</t>
  </si>
  <si>
    <t>Факт за звітний період поточного року на останню дату</t>
  </si>
  <si>
    <t>Примітки</t>
  </si>
  <si>
    <t>Коефіцієнти рентабельності та прибутковості</t>
  </si>
  <si>
    <r>
      <rPr>
        <b/>
        <sz val="14"/>
        <rFont val="Times New Roman"/>
        <family val="1"/>
        <charset val="204"/>
      </rPr>
      <t>Коефіцієнт рентабельності активів</t>
    </r>
    <r>
      <rPr>
        <sz val="14"/>
        <rFont val="Times New Roman"/>
        <family val="1"/>
        <charset val="204"/>
      </rPr>
      <t xml:space="preserve">
(чистий фінансовий результат рядок 2350 ф.2 / вартість активів, рядок 1300 ф.1)</t>
    </r>
  </si>
  <si>
    <t>Збільшення</t>
  </si>
  <si>
    <t>Характеризує ефективність використання активів підприємства</t>
  </si>
  <si>
    <r>
      <rPr>
        <b/>
        <sz val="14"/>
        <rFont val="Times New Roman"/>
        <family val="1"/>
        <charset val="204"/>
      </rPr>
      <t>Коефіцієнт рентабельності власного капіталу</t>
    </r>
    <r>
      <rPr>
        <sz val="14"/>
        <rFont val="Times New Roman"/>
        <family val="1"/>
        <charset val="204"/>
      </rPr>
      <t xml:space="preserve">
(чистий фінансовий результат, рядок 2350 ф.2 / власний капітал, рядок 1495 ф.1)</t>
    </r>
  </si>
  <si>
    <r>
      <rPr>
        <b/>
        <sz val="14"/>
        <rFont val="Times New Roman"/>
        <family val="1"/>
        <charset val="204"/>
      </rPr>
      <t>Коефіцієнт рентабельності діяльності</t>
    </r>
    <r>
      <rPr>
        <sz val="14"/>
        <rFont val="Times New Roman"/>
        <family val="1"/>
        <charset val="204"/>
      </rPr>
      <t xml:space="preserve">
(чистий фінансовий результат, рядок 2350 ф.2 / чистий дохід від реалізації продукції (товарів, робіт, послуг), рядок 2000 ф.2)</t>
    </r>
  </si>
  <si>
    <t>&gt; 0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</si>
  <si>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</si>
  <si>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</si>
  <si>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r>
      <rPr>
        <b/>
        <sz val="14"/>
        <rFont val="Times New Roman"/>
        <family val="1"/>
        <charset val="204"/>
      </rPr>
      <t>Коефіцієнт фінансової стійкості</t>
    </r>
    <r>
      <rPr>
        <sz val="14"/>
        <rFont val="Times New Roman"/>
        <family val="1"/>
        <charset val="204"/>
      </rPr>
      <t xml:space="preserve">
(власний капітал, рядок 1495 ф.1 / довгострокові зобов'язання, рядок 1595 ф.1 + поточні зобов'язання, рядок 1695 ф.1)</t>
    </r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</si>
  <si>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</si>
  <si>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</si>
  <si>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r>
      <rPr>
        <b/>
        <sz val="14"/>
        <rFont val="Times New Roman"/>
        <family val="1"/>
        <charset val="204"/>
      </rPr>
      <t>Коефіцієнт поточної ліквідності (покриття)</t>
    </r>
    <r>
      <rPr>
        <sz val="14"/>
        <rFont val="Times New Roman"/>
        <family val="1"/>
        <charset val="204"/>
      </rPr>
      <t xml:space="preserve">
(оборотні активи, рядок 1195 ф.1 / поточні зобов'язання, рядок 1695 ф.1)</t>
    </r>
  </si>
  <si>
    <t>&gt; 1 - 1,5</t>
  </si>
  <si>
    <t xml:space="preserve">Показує достатність ресурсів підприємства, які може бути використано для погашення його поточних зобов'язань.  </t>
  </si>
  <si>
    <t>Аналіз капітальних інвестицій</t>
  </si>
  <si>
    <r>
      <rPr>
        <b/>
        <sz val="14"/>
        <rFont val="Times New Roman"/>
        <family val="1"/>
        <charset val="204"/>
      </rPr>
      <t>Коефіцієнт відношення капітальних інвестицій до амортизації</t>
    </r>
    <r>
      <rPr>
        <sz val="14"/>
        <rFont val="Times New Roman"/>
        <family val="1"/>
        <charset val="204"/>
      </rPr>
      <t xml:space="preserve">
(рядок 4000 розділу IV фінансового плану / рядок 1290 розділу I фінансового плану) або р 100 Кап інвест/р 2515 Ф2</t>
    </r>
  </si>
  <si>
    <r>
      <rPr>
        <b/>
        <sz val="14"/>
        <rFont val="Times New Roman"/>
        <family val="1"/>
        <charset val="204"/>
      </rPr>
      <t>Коефіцієнт відношення капітальних інвестицій до чистого доходу (виручки) від реалізації продукції (товарів, робіт, послуг)</t>
    </r>
    <r>
      <rPr>
        <sz val="14"/>
        <rFont val="Times New Roman"/>
        <family val="1"/>
        <charset val="204"/>
      </rPr>
      <t xml:space="preserve">
(рядок 4000 розділу IV фінансового плану / рядок 1040 розділу I фінансового плану) або р 100 Кап інвест/р 2000 Ф2</t>
    </r>
  </si>
  <si>
    <r>
      <rPr>
        <b/>
        <sz val="14"/>
        <rFont val="Times New Roman"/>
        <family val="1"/>
        <charset val="204"/>
      </rPr>
      <t xml:space="preserve">Коефіцієнт зносу основних засобів </t>
    </r>
    <r>
      <rPr>
        <sz val="14"/>
        <rFont val="Times New Roman"/>
        <family val="1"/>
        <charset val="204"/>
      </rPr>
      <t xml:space="preserve">
(сума зносу, рядок 1012 ф.1 / первісна вартість основних засобів, рядок 1011 ф.1) 
(форма 1, рядок 1012 / форма 1, рядок 1011)</t>
    </r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</si>
  <si>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</si>
  <si>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</si>
  <si>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</si>
  <si>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 xml:space="preserve">  Керівник  підприємства</t>
  </si>
  <si>
    <t>_________________________</t>
  </si>
  <si>
    <t xml:space="preserve">       А.Г.Бейн</t>
  </si>
  <si>
    <t xml:space="preserve">    (посада)</t>
  </si>
  <si>
    <t xml:space="preserve">(ініціали, прізвище)    </t>
  </si>
  <si>
    <r>
      <rPr>
        <b/>
        <sz val="14"/>
        <rFont val="Times New Roman"/>
        <family val="1"/>
        <charset val="204"/>
      </rPr>
      <t>Валова рентабельність</t>
    </r>
    <r>
      <rPr>
        <sz val="14"/>
        <rFont val="Times New Roman"/>
        <family val="1"/>
        <charset val="204"/>
      </rPr>
      <t xml:space="preserve">
(валовий прибуток рядок 2090 ф.2  / чистий дохід від реалізації продукції (товарів, робіт, послуг) рядок 2000 ф.2,%)</t>
    </r>
  </si>
  <si>
    <t>Інформація</t>
  </si>
  <si>
    <t>КП "Комбінат комунальних підприємств" Черкаської міської ради</t>
  </si>
  <si>
    <t xml:space="preserve">      1. Дані про підприємство, персонал та фонд заробітної плати</t>
  </si>
  <si>
    <t>план звітного періоду</t>
  </si>
  <si>
    <t>факт звітного періоду</t>
  </si>
  <si>
    <t>відхилення,  +/-</t>
  </si>
  <si>
    <t>виконання, %</t>
  </si>
  <si>
    <t xml:space="preserve">2. Інформація про бізнес підприємства (код рядка 1040 "чистий дохід від реалізації продукції (товарів, робіт, послуг) фінансового плану) </t>
  </si>
  <si>
    <t>Плановий показник за період</t>
  </si>
  <si>
    <t>Фактичний показник за період</t>
  </si>
  <si>
    <t>Відхилення, +/-</t>
  </si>
  <si>
    <t>Виконання,%</t>
  </si>
  <si>
    <t>чистий дохід  від реалізації продукції (товарів, робіт, послуг),     тис. грн.</t>
  </si>
  <si>
    <t>кількість продукції/наданих послуг, одиниця виміру</t>
  </si>
  <si>
    <t xml:space="preserve"> 3. Діючі фінансові зобов'язання підприємства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</si>
  <si>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</si>
  <si>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</si>
  <si>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</si>
  <si>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</si>
  <si>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 xml:space="preserve">план </t>
  </si>
  <si>
    <r>
      <t>у тому числі:</t>
    </r>
    <r>
      <rPr>
        <i/>
        <sz val="12"/>
        <rFont val="Times New Roman"/>
        <family val="1"/>
        <charset val="204"/>
      </rPr>
      <t xml:space="preserve"> </t>
    </r>
  </si>
  <si>
    <t xml:space="preserve">  5. Витрати, пов'язані з використанням власних службових автомобілів (у складі адміністративних витрат, рядок 1041)</t>
  </si>
  <si>
    <t>Оплата праці</t>
  </si>
  <si>
    <t>відрахування на соц. заходи</t>
  </si>
  <si>
    <t>ВАЗ-2121,   Шевролет</t>
  </si>
  <si>
    <t xml:space="preserve">       6. Витрати на оренду службових автомобілів (у складі адміністративних витрат, рядок 1042)</t>
  </si>
  <si>
    <t xml:space="preserve">відхилення, +/- </t>
  </si>
  <si>
    <t>1.</t>
  </si>
  <si>
    <t>2.</t>
  </si>
  <si>
    <t>придбання ( створення) нематеріальних</t>
  </si>
  <si>
    <t>Інформація щодо проектно-кошторисної документації (стан розроблення, затвердження,  у разі затвердження зазначити орган, яким затверджено, та відповідний документ)</t>
  </si>
  <si>
    <t>інші джерела (зазначити джерело)</t>
  </si>
  <si>
    <t>Керівник</t>
  </si>
  <si>
    <t>А.Г.Бейн</t>
  </si>
  <si>
    <t>(ініціали,прізвище)</t>
  </si>
  <si>
    <t xml:space="preserve"> Усього по плану   за  І квартал 2019р.</t>
  </si>
  <si>
    <t>Придбання автомобіля МАЗ 437№2 Супер Міні( для вивезення сміття з кладовищ міста)</t>
  </si>
  <si>
    <t>1.1</t>
  </si>
  <si>
    <t>1.2</t>
  </si>
  <si>
    <t>1.3</t>
  </si>
  <si>
    <t>1.4</t>
  </si>
  <si>
    <r>
      <t xml:space="preserve">Керівник </t>
    </r>
    <r>
      <rPr>
        <sz val="12"/>
        <rFont val="Times New Roman"/>
        <family val="1"/>
        <charset val="204"/>
      </rPr>
      <t>________________________</t>
    </r>
  </si>
  <si>
    <t>Збільшення обумовлено  збільшенням вартості сировини та матеріалів</t>
  </si>
  <si>
    <t>Придбання   автобуса (автомобіля вантажопасажирського) марки АТАМАН  для перевезення людей під час проведення поховання</t>
  </si>
  <si>
    <t>Придбання   автомобіля (автомобіля вантажопасажирського) марки FORD TRANSIT Y363 Kombi          для транспортування до моргу померлих на судмедекспертизу</t>
  </si>
  <si>
    <t xml:space="preserve">Єдиний внесок на загальнообов'язкове  державне соціальне страхування                              </t>
  </si>
  <si>
    <t xml:space="preserve">Збільшення витрат обумовлено зростання заробітної плати відповідно змін до Галузевої заробітної плати та росту мінімальної заробітної плати </t>
  </si>
  <si>
    <t>Доходи (виручка) від реалізації продукції (товарів, робіт, послуг)</t>
  </si>
  <si>
    <t xml:space="preserve"> З ВИКОНАННЯ ФІНАНСОВОГО ПЛАНУ КОМУНАЛЬНОГО ПІДПРИЄМСТВА</t>
  </si>
  <si>
    <t>I. Формування фінансових результатів за І півріччя 2019 року</t>
  </si>
  <si>
    <t>за   І півріччя 2019 року</t>
  </si>
  <si>
    <t>IІ. Розрахунки з бюджетом за І півріччя 2019 року</t>
  </si>
  <si>
    <t>Плановий рік 2019 рік</t>
  </si>
  <si>
    <t>15</t>
  </si>
  <si>
    <t>Усього по факту за Іпівріччя 2019р.</t>
  </si>
  <si>
    <t>ІІІ. Рух грошових коштів за  І півріччя  2019 року</t>
  </si>
  <si>
    <t>IV. Капітальні інвестиції за І півріччя 2019 року</t>
  </si>
  <si>
    <t xml:space="preserve">до звіту про виконання фінансового плану за  І півріччя 2019рік </t>
  </si>
  <si>
    <t>Збільшення вартості  сировини і матеріалів, витрат на оплату праці відповідно до  змін мінімальної заробітної плати</t>
  </si>
  <si>
    <t>Збільшення витрат обумовлено зростання вартості послуг</t>
  </si>
  <si>
    <t xml:space="preserve">Збільшення обумовлено  збільшення  ритуальних послуг  з комерційної діяльності </t>
  </si>
  <si>
    <t>Придбання автомобіля сміттєвоза ЛІВ Міні Б</t>
  </si>
  <si>
    <t>Взамін автомобіля МАЗ 437 придбано сміттєвоз ЛІВ Міні Б</t>
  </si>
  <si>
    <r>
      <t>Збільшення обумовлено  збільшення вартості ритуальних послуг  з комерційної діяльності за рахунок росту мінімальної заробітної плати та прожиткового мінімуму, згідно законодавства та збільшеного кофіцієнту  відповдно  Галузевої угоди</t>
    </r>
    <r>
      <rPr>
        <sz val="10"/>
        <color rgb="FFC00000"/>
        <rFont val="Times New Roman"/>
        <family val="1"/>
        <charset val="204"/>
      </rPr>
      <t xml:space="preserve"> </t>
    </r>
    <r>
      <rPr>
        <sz val="10"/>
        <color theme="0"/>
        <rFont val="Times New Roman"/>
        <family val="1"/>
        <charset val="204"/>
      </rPr>
      <t>та збільшення кількості послуг</t>
    </r>
  </si>
  <si>
    <t>Збільшення за рахунок збільшення матеріальних ресурсів (паливо,запчастини)</t>
  </si>
  <si>
    <t>І</t>
  </si>
  <si>
    <t>ІІ</t>
  </si>
  <si>
    <t>ІІІ</t>
  </si>
  <si>
    <t>VI. Коефіцієнтний аналіз за І півріччя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</si>
</sst>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#,##0.000"/>
    <numFmt numFmtId="178" formatCode="dd\.mm\.yyyy;@"/>
    <numFmt numFmtId="179" formatCode="0.0000"/>
  </numFmts>
  <fonts count="10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indexed="9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 Cyr"/>
      <charset val="204"/>
    </font>
    <font>
      <b/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theme="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indexed="1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i/>
      <sz val="14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56">
    <xf numFmtId="0" fontId="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2" borderId="0" applyNumberFormat="0" applyBorder="0" applyAlignment="0" applyProtection="0"/>
    <xf numFmtId="0" fontId="14" fillId="12" borderId="0" applyNumberFormat="0" applyBorder="0" applyAlignment="0" applyProtection="0"/>
    <xf numFmtId="0" fontId="32" fillId="9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0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5" fillId="3" borderId="0" applyNumberFormat="0" applyBorder="0" applyAlignment="0" applyProtection="0"/>
    <xf numFmtId="0" fontId="17" fillId="20" borderId="1" applyNumberFormat="0" applyAlignment="0" applyProtection="0"/>
    <xf numFmtId="0" fontId="22" fillId="21" borderId="2" applyNumberFormat="0" applyAlignment="0" applyProtection="0"/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49" fontId="33" fillId="0" borderId="3">
      <alignment horizontal="center" vertical="center"/>
      <protection locked="0"/>
    </xf>
    <xf numFmtId="168" fontId="11" fillId="0" borderId="0" applyFont="0" applyFill="0" applyBorder="0" applyAlignment="0" applyProtection="0"/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0" fontId="26" fillId="0" borderId="0" applyNumberFormat="0" applyFill="0" applyBorder="0" applyAlignment="0" applyProtection="0"/>
    <xf numFmtId="171" fontId="34" fillId="0" borderId="0" applyAlignment="0">
      <alignment wrapText="1"/>
    </xf>
    <xf numFmtId="0" fontId="29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36" fillId="22" borderId="7">
      <alignment horizontal="left" vertical="center"/>
      <protection locked="0"/>
    </xf>
    <xf numFmtId="49" fontId="36" fillId="22" borderId="7">
      <alignment horizontal="left" vertical="center"/>
    </xf>
    <xf numFmtId="4" fontId="36" fillId="22" borderId="7">
      <alignment horizontal="right" vertical="center"/>
      <protection locked="0"/>
    </xf>
    <xf numFmtId="4" fontId="36" fillId="22" borderId="7">
      <alignment horizontal="right" vertical="center"/>
    </xf>
    <xf numFmtId="4" fontId="37" fillId="22" borderId="7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9" fontId="33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</xf>
    <xf numFmtId="4" fontId="33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" fontId="45" fillId="0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9" fontId="44" fillId="0" borderId="3">
      <alignment horizontal="left" vertical="center"/>
      <protection locked="0"/>
    </xf>
    <xf numFmtId="49" fontId="45" fillId="0" borderId="3">
      <alignment horizontal="left" vertical="center"/>
      <protection locked="0"/>
    </xf>
    <xf numFmtId="4" fontId="44" fillId="0" borderId="3">
      <alignment horizontal="right" vertical="center"/>
      <protection locked="0"/>
    </xf>
    <xf numFmtId="0" fontId="27" fillId="0" borderId="8" applyNumberFormat="0" applyFill="0" applyAlignment="0" applyProtection="0"/>
    <xf numFmtId="0" fontId="24" fillId="23" borderId="0" applyNumberFormat="0" applyBorder="0" applyAlignment="0" applyProtection="0"/>
    <xf numFmtId="0" fontId="11" fillId="0" borderId="0"/>
    <xf numFmtId="0" fontId="11" fillId="0" borderId="0"/>
    <xf numFmtId="0" fontId="11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8" fillId="26" borderId="3">
      <alignment horizontal="right" vertical="center"/>
      <protection locked="0"/>
    </xf>
    <xf numFmtId="4" fontId="48" fillId="27" borderId="3">
      <alignment horizontal="right" vertical="center"/>
      <protection locked="0"/>
    </xf>
    <xf numFmtId="4" fontId="48" fillId="28" borderId="3">
      <alignment horizontal="right" vertical="center"/>
      <protection locked="0"/>
    </xf>
    <xf numFmtId="0" fontId="16" fillId="20" borderId="10" applyNumberFormat="0" applyAlignment="0" applyProtection="0"/>
    <xf numFmtId="49" fontId="33" fillId="0" borderId="3">
      <alignment horizontal="left" vertical="center" wrapText="1"/>
      <protection locked="0"/>
    </xf>
    <xf numFmtId="49" fontId="33" fillId="0" borderId="3">
      <alignment horizontal="left" vertical="center" wrapText="1"/>
      <protection locked="0"/>
    </xf>
    <xf numFmtId="0" fontId="23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14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8" borderId="0" applyNumberFormat="0" applyBorder="0" applyAlignment="0" applyProtection="0"/>
    <xf numFmtId="0" fontId="32" fillId="13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4" borderId="0" applyNumberFormat="0" applyBorder="0" applyAlignment="0" applyProtection="0"/>
    <xf numFmtId="0" fontId="32" fillId="19" borderId="0" applyNumberFormat="0" applyBorder="0" applyAlignment="0" applyProtection="0"/>
    <xf numFmtId="0" fontId="14" fillId="19" borderId="0" applyNumberFormat="0" applyBorder="0" applyAlignment="0" applyProtection="0"/>
    <xf numFmtId="0" fontId="49" fillId="7" borderId="1" applyNumberFormat="0" applyAlignment="0" applyProtection="0"/>
    <xf numFmtId="0" fontId="15" fillId="7" borderId="1" applyNumberFormat="0" applyAlignment="0" applyProtection="0"/>
    <xf numFmtId="0" fontId="50" fillId="20" borderId="10" applyNumberFormat="0" applyAlignment="0" applyProtection="0"/>
    <xf numFmtId="0" fontId="16" fillId="20" borderId="10" applyNumberFormat="0" applyAlignment="0" applyProtection="0"/>
    <xf numFmtId="0" fontId="51" fillId="20" borderId="1" applyNumberFormat="0" applyAlignment="0" applyProtection="0"/>
    <xf numFmtId="0" fontId="17" fillId="20" borderId="1" applyNumberFormat="0" applyAlignment="0" applyProtection="0"/>
    <xf numFmtId="166" fontId="2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2" fillId="0" borderId="4" applyNumberFormat="0" applyFill="0" applyAlignment="0" applyProtection="0"/>
    <xf numFmtId="0" fontId="18" fillId="0" borderId="4" applyNumberFormat="0" applyFill="0" applyAlignment="0" applyProtection="0"/>
    <xf numFmtId="0" fontId="53" fillId="0" borderId="5" applyNumberFormat="0" applyFill="0" applyAlignment="0" applyProtection="0"/>
    <xf numFmtId="0" fontId="19" fillId="0" borderId="5" applyNumberFormat="0" applyFill="0" applyAlignment="0" applyProtection="0"/>
    <xf numFmtId="0" fontId="54" fillId="0" borderId="6" applyNumberFormat="0" applyFill="0" applyAlignment="0" applyProtection="0"/>
    <xf numFmtId="0" fontId="20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21" fillId="0" borderId="11" applyNumberFormat="0" applyFill="0" applyAlignment="0" applyProtection="0"/>
    <xf numFmtId="0" fontId="56" fillId="21" borderId="2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24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11" fillId="0" borderId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58" fillId="3" borderId="0" applyNumberFormat="0" applyBorder="0" applyAlignment="0" applyProtection="0"/>
    <xf numFmtId="0" fontId="25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5" borderId="9" applyNumberFormat="0" applyFont="0" applyAlignment="0" applyProtection="0"/>
    <xf numFmtId="0" fontId="11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27" fillId="0" borderId="8" applyNumberFormat="0" applyFill="0" applyAlignment="0" applyProtection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3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5" fillId="4" borderId="0" applyNumberFormat="0" applyBorder="0" applyAlignment="0" applyProtection="0"/>
    <xf numFmtId="0" fontId="29" fillId="4" borderId="0" applyNumberFormat="0" applyBorder="0" applyAlignment="0" applyProtection="0"/>
    <xf numFmtId="176" fontId="66" fillId="22" borderId="12" applyFill="0" applyBorder="0">
      <alignment horizontal="center" vertical="center" wrapText="1"/>
      <protection locked="0"/>
    </xf>
    <xf numFmtId="171" fontId="67" fillId="0" borderId="0">
      <alignment wrapText="1"/>
    </xf>
    <xf numFmtId="171" fontId="34" fillId="0" borderId="0">
      <alignment wrapText="1"/>
    </xf>
  </cellStyleXfs>
  <cellXfs count="744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248" applyFont="1" applyFill="1" applyBorder="1" applyAlignment="1">
      <alignment horizontal="center" vertical="center" wrapText="1"/>
    </xf>
    <xf numFmtId="0" fontId="5" fillId="0" borderId="0" xfId="248" applyFont="1" applyFill="1" applyBorder="1" applyAlignment="1">
      <alignment vertical="center"/>
    </xf>
    <xf numFmtId="0" fontId="5" fillId="0" borderId="3" xfId="248" applyFont="1" applyFill="1" applyBorder="1" applyAlignment="1">
      <alignment horizontal="left" vertical="center" wrapText="1"/>
    </xf>
    <xf numFmtId="0" fontId="4" fillId="0" borderId="0" xfId="248" applyFont="1" applyFill="1" applyBorder="1" applyAlignment="1">
      <alignment vertical="center"/>
    </xf>
    <xf numFmtId="0" fontId="5" fillId="0" borderId="0" xfId="248" applyFont="1" applyFill="1" applyBorder="1" applyAlignment="1">
      <alignment horizontal="center" vertical="center"/>
    </xf>
    <xf numFmtId="0" fontId="4" fillId="0" borderId="0" xfId="24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8" applyFont="1" applyFill="1" applyBorder="1" applyAlignment="1">
      <alignment horizontal="center" vertical="center"/>
    </xf>
    <xf numFmtId="0" fontId="5" fillId="0" borderId="3" xfId="24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8" applyFont="1" applyFill="1" applyBorder="1" applyAlignment="1">
      <alignment horizontal="left" vertical="center" wrapText="1"/>
    </xf>
    <xf numFmtId="0" fontId="13" fillId="0" borderId="0" xfId="248" applyFont="1" applyFill="1"/>
    <xf numFmtId="0" fontId="5" fillId="0" borderId="0" xfId="248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170" fontId="5" fillId="0" borderId="0" xfId="248" applyNumberFormat="1" applyFont="1" applyFill="1" applyBorder="1" applyAlignment="1">
      <alignment horizontal="center" vertical="center" wrapText="1"/>
    </xf>
    <xf numFmtId="170" fontId="5" fillId="0" borderId="0" xfId="248" applyNumberFormat="1" applyFont="1" applyFill="1" applyBorder="1" applyAlignment="1">
      <alignment horizontal="right" vertical="center" wrapText="1"/>
    </xf>
    <xf numFmtId="0" fontId="5" fillId="0" borderId="0" xfId="248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3" xfId="248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9" fontId="68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4" fillId="29" borderId="3" xfId="0" applyFont="1" applyFill="1" applyBorder="1" applyAlignment="1">
      <alignment horizontal="left" vertical="center" wrapText="1"/>
    </xf>
    <xf numFmtId="0" fontId="4" fillId="29" borderId="0" xfId="0" applyFont="1" applyFill="1" applyBorder="1" applyAlignment="1">
      <alignment vertical="center"/>
    </xf>
    <xf numFmtId="0" fontId="4" fillId="29" borderId="3" xfId="248" applyFont="1" applyFill="1" applyBorder="1" applyAlignment="1">
      <alignment horizontal="left" vertical="center" wrapText="1"/>
    </xf>
    <xf numFmtId="0" fontId="4" fillId="29" borderId="3" xfId="248" applyFont="1" applyFill="1" applyBorder="1" applyAlignment="1">
      <alignment horizontal="center" vertical="center" wrapText="1"/>
    </xf>
    <xf numFmtId="0" fontId="4" fillId="29" borderId="0" xfId="248" applyFont="1" applyFill="1" applyBorder="1" applyAlignment="1">
      <alignment vertical="center"/>
    </xf>
    <xf numFmtId="0" fontId="4" fillId="29" borderId="0" xfId="0" applyFont="1" applyFill="1" applyAlignment="1">
      <alignment vertical="center"/>
    </xf>
    <xf numFmtId="0" fontId="4" fillId="29" borderId="3" xfId="0" quotePrefix="1" applyNumberFormat="1" applyFont="1" applyFill="1" applyBorder="1" applyAlignment="1">
      <alignment horizontal="center" vertical="center" wrapText="1"/>
    </xf>
    <xf numFmtId="170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 shrinkToFit="1"/>
    </xf>
    <xf numFmtId="2" fontId="9" fillId="0" borderId="16" xfId="0" applyNumberFormat="1" applyFont="1" applyFill="1" applyBorder="1" applyAlignment="1">
      <alignment horizontal="center" vertical="center" wrapText="1"/>
    </xf>
    <xf numFmtId="170" fontId="4" fillId="29" borderId="3" xfId="0" quotePrefix="1" applyNumberFormat="1" applyFont="1" applyFill="1" applyBorder="1" applyAlignment="1">
      <alignment horizontal="center" vertical="center" wrapText="1"/>
    </xf>
    <xf numFmtId="170" fontId="4" fillId="0" borderId="3" xfId="248" applyNumberFormat="1" applyFont="1" applyFill="1" applyBorder="1" applyAlignment="1">
      <alignment horizontal="center" vertical="center" wrapText="1"/>
    </xf>
    <xf numFmtId="170" fontId="4" fillId="29" borderId="3" xfId="248" applyNumberFormat="1" applyFont="1" applyFill="1" applyBorder="1" applyAlignment="1">
      <alignment horizontal="center" vertical="center" wrapText="1"/>
    </xf>
    <xf numFmtId="170" fontId="5" fillId="0" borderId="3" xfId="0" quotePrefix="1" applyNumberFormat="1" applyFont="1" applyFill="1" applyBorder="1" applyAlignment="1">
      <alignment horizontal="center" vertical="center" wrapText="1"/>
    </xf>
    <xf numFmtId="170" fontId="5" fillId="0" borderId="3" xfId="248" applyNumberFormat="1" applyFont="1" applyFill="1" applyBorder="1" applyAlignment="1">
      <alignment horizontal="center" vertical="center" wrapText="1"/>
    </xf>
    <xf numFmtId="170" fontId="6" fillId="0" borderId="3" xfId="248" applyNumberFormat="1" applyFont="1" applyFill="1" applyBorder="1" applyAlignment="1">
      <alignment horizontal="center" vertical="center" wrapText="1"/>
    </xf>
    <xf numFmtId="170" fontId="5" fillId="0" borderId="3" xfId="248" quotePrefix="1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/>
    </xf>
    <xf numFmtId="169" fontId="5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0" fontId="70" fillId="0" borderId="3" xfId="248" applyFont="1" applyFill="1" applyBorder="1" applyAlignment="1">
      <alignment horizontal="left" vertical="center" wrapText="1"/>
    </xf>
    <xf numFmtId="0" fontId="9" fillId="0" borderId="3" xfId="248" applyFont="1" applyFill="1" applyBorder="1" applyAlignment="1">
      <alignment horizontal="left" vertical="center" wrapText="1"/>
    </xf>
    <xf numFmtId="0" fontId="9" fillId="0" borderId="3" xfId="0" quotePrefix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left" vertical="center" wrapText="1"/>
    </xf>
    <xf numFmtId="4" fontId="9" fillId="0" borderId="3" xfId="21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0" fillId="29" borderId="3" xfId="0" applyFont="1" applyFill="1" applyBorder="1" applyAlignment="1">
      <alignment horizontal="left" vertical="center" wrapText="1"/>
    </xf>
    <xf numFmtId="0" fontId="70" fillId="29" borderId="3" xfId="0" applyFont="1" applyFill="1" applyBorder="1" applyAlignment="1">
      <alignment horizontal="center" vertical="center"/>
    </xf>
    <xf numFmtId="170" fontId="70" fillId="29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3" fontId="70" fillId="0" borderId="3" xfId="0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170" fontId="70" fillId="0" borderId="3" xfId="0" applyNumberFormat="1" applyFont="1" applyFill="1" applyBorder="1" applyAlignment="1">
      <alignment horizontal="center" vertical="center" wrapText="1"/>
    </xf>
    <xf numFmtId="0" fontId="70" fillId="0" borderId="0" xfId="0" quotePrefix="1" applyFont="1" applyFill="1" applyBorder="1" applyAlignment="1">
      <alignment horizontal="center" vertical="center"/>
    </xf>
    <xf numFmtId="169" fontId="70" fillId="0" borderId="0" xfId="0" applyNumberFormat="1" applyFont="1" applyFill="1" applyBorder="1" applyAlignment="1">
      <alignment horizontal="center" vertical="center" wrapText="1"/>
    </xf>
    <xf numFmtId="169" fontId="70" fillId="0" borderId="0" xfId="0" applyNumberFormat="1" applyFont="1" applyFill="1" applyBorder="1" applyAlignment="1">
      <alignment horizontal="right" vertical="center"/>
    </xf>
    <xf numFmtId="169" fontId="70" fillId="0" borderId="0" xfId="0" applyNumberFormat="1" applyFont="1" applyFill="1" applyBorder="1" applyAlignment="1">
      <alignment horizontal="right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9" fillId="0" borderId="0" xfId="0" quotePrefix="1" applyFont="1" applyFill="1" applyBorder="1" applyAlignment="1">
      <alignment horizontal="center" vertical="center"/>
    </xf>
    <xf numFmtId="170" fontId="71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70" fillId="0" borderId="3" xfId="0" applyNumberFormat="1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left" vertical="center" wrapText="1"/>
    </xf>
    <xf numFmtId="170" fontId="9" fillId="0" borderId="3" xfId="0" quotePrefix="1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left" vertical="center"/>
    </xf>
    <xf numFmtId="170" fontId="9" fillId="0" borderId="3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70" fillId="0" borderId="3" xfId="0" quotePrefix="1" applyFont="1" applyFill="1" applyBorder="1" applyAlignment="1">
      <alignment horizontal="center" vertical="center"/>
    </xf>
    <xf numFmtId="170" fontId="70" fillId="0" borderId="3" xfId="0" quotePrefix="1" applyNumberFormat="1" applyFont="1" applyFill="1" applyBorder="1" applyAlignment="1">
      <alignment horizontal="center" vertical="center" wrapText="1"/>
    </xf>
    <xf numFmtId="0" fontId="70" fillId="29" borderId="3" xfId="0" quotePrefix="1" applyFont="1" applyFill="1" applyBorder="1" applyAlignment="1">
      <alignment horizontal="center" vertical="center"/>
    </xf>
    <xf numFmtId="0" fontId="70" fillId="29" borderId="15" xfId="0" applyFont="1" applyFill="1" applyBorder="1" applyAlignment="1">
      <alignment horizontal="center" vertical="center"/>
    </xf>
    <xf numFmtId="0" fontId="9" fillId="0" borderId="3" xfId="0" quotePrefix="1" applyFont="1" applyFill="1" applyBorder="1" applyAlignment="1">
      <alignment horizontal="center" vertical="center" wrapText="1"/>
    </xf>
    <xf numFmtId="0" fontId="70" fillId="0" borderId="3" xfId="182" applyFont="1" applyFill="1" applyBorder="1" applyAlignment="1">
      <alignment vertical="center" wrapText="1"/>
      <protection locked="0"/>
    </xf>
    <xf numFmtId="0" fontId="70" fillId="0" borderId="18" xfId="0" applyFont="1" applyFill="1" applyBorder="1" applyAlignment="1">
      <alignment horizontal="center" vertical="center"/>
    </xf>
    <xf numFmtId="0" fontId="70" fillId="0" borderId="3" xfId="0" applyFont="1" applyFill="1" applyBorder="1" applyAlignment="1" applyProtection="1">
      <alignment vertical="center" wrapText="1"/>
      <protection locked="0"/>
    </xf>
    <xf numFmtId="0" fontId="70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49" fontId="70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9" fontId="5" fillId="0" borderId="14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170" fontId="4" fillId="29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70" fontId="4" fillId="0" borderId="3" xfId="0" quotePrefix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9" fontId="5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169" fontId="5" fillId="0" borderId="2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4" fontId="70" fillId="0" borderId="3" xfId="0" applyNumberFormat="1" applyFont="1" applyFill="1" applyBorder="1" applyAlignment="1">
      <alignment horizontal="center" vertical="center" wrapText="1"/>
    </xf>
    <xf numFmtId="169" fontId="9" fillId="0" borderId="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 shrinkToFit="1"/>
    </xf>
    <xf numFmtId="0" fontId="0" fillId="0" borderId="16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4" xfId="0" applyBorder="1" applyAlignment="1">
      <alignment horizontal="left" vertical="center" wrapText="1" shrinkToFi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 shrinkToFit="1"/>
    </xf>
    <xf numFmtId="0" fontId="69" fillId="0" borderId="21" xfId="0" applyFont="1" applyBorder="1" applyAlignment="1">
      <alignment horizontal="center" vertical="center" wrapText="1" shrinkToFit="1"/>
    </xf>
    <xf numFmtId="3" fontId="5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170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9" fontId="13" fillId="0" borderId="14" xfId="0" applyNumberFormat="1" applyFont="1" applyBorder="1" applyAlignment="1">
      <alignment horizontal="center" vertical="center" wrapText="1"/>
    </xf>
    <xf numFmtId="170" fontId="4" fillId="0" borderId="18" xfId="0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>
      <alignment horizontal="center" vertical="center" wrapText="1" shrinkToFit="1"/>
    </xf>
    <xf numFmtId="169" fontId="4" fillId="0" borderId="3" xfId="0" applyNumberFormat="1" applyFont="1" applyFill="1" applyBorder="1" applyAlignment="1">
      <alignment horizontal="center" vertical="center" wrapText="1"/>
    </xf>
    <xf numFmtId="0" fontId="75" fillId="0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75" fillId="29" borderId="3" xfId="0" applyFont="1" applyFill="1" applyBorder="1" applyAlignment="1">
      <alignment horizontal="left" vertical="center" wrapText="1"/>
    </xf>
    <xf numFmtId="170" fontId="75" fillId="29" borderId="3" xfId="0" applyNumberFormat="1" applyFont="1" applyFill="1" applyBorder="1" applyAlignment="1">
      <alignment horizontal="center" vertical="center" wrapText="1"/>
    </xf>
    <xf numFmtId="170" fontId="75" fillId="0" borderId="3" xfId="0" quotePrefix="1" applyNumberFormat="1" applyFont="1" applyFill="1" applyBorder="1" applyAlignment="1">
      <alignment horizontal="center" vertical="center" wrapText="1"/>
    </xf>
    <xf numFmtId="0" fontId="75" fillId="0" borderId="3" xfId="0" quotePrefix="1" applyFont="1" applyFill="1" applyBorder="1" applyAlignment="1">
      <alignment horizontal="center" vertical="center" wrapText="1"/>
    </xf>
    <xf numFmtId="0" fontId="75" fillId="0" borderId="3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248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248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top" wrapText="1"/>
    </xf>
    <xf numFmtId="0" fontId="71" fillId="0" borderId="3" xfId="0" applyFont="1" applyFill="1" applyBorder="1" applyAlignment="1">
      <alignment horizontal="left" vertical="top" wrapText="1"/>
    </xf>
    <xf numFmtId="0" fontId="71" fillId="0" borderId="18" xfId="0" applyFont="1" applyBorder="1" applyAlignment="1">
      <alignment vertical="top" wrapText="1"/>
    </xf>
    <xf numFmtId="0" fontId="71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vertical="center" wrapText="1"/>
    </xf>
    <xf numFmtId="0" fontId="70" fillId="0" borderId="1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top" wrapText="1" shrinkToFit="1"/>
    </xf>
    <xf numFmtId="170" fontId="6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169" fontId="6" fillId="0" borderId="3" xfId="0" applyNumberFormat="1" applyFont="1" applyFill="1" applyBorder="1" applyAlignment="1">
      <alignment horizontal="center" vertical="center" wrapText="1"/>
    </xf>
    <xf numFmtId="170" fontId="71" fillId="0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170" fontId="71" fillId="0" borderId="3" xfId="0" quotePrefix="1" applyNumberFormat="1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center" vertical="center"/>
    </xf>
    <xf numFmtId="0" fontId="79" fillId="0" borderId="0" xfId="0" applyFont="1"/>
    <xf numFmtId="0" fontId="71" fillId="0" borderId="15" xfId="0" quotePrefix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170" fontId="80" fillId="0" borderId="3" xfId="0" quotePrefix="1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Fill="1" applyAlignment="1">
      <alignment horizontal="left" vertical="center"/>
    </xf>
    <xf numFmtId="0" fontId="4" fillId="0" borderId="3" xfId="0" quotePrefix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81" fillId="0" borderId="23" xfId="0" applyFont="1" applyFill="1" applyBorder="1" applyAlignment="1">
      <alignment vertical="center"/>
    </xf>
    <xf numFmtId="0" fontId="71" fillId="0" borderId="3" xfId="0" quotePrefix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left" vertical="center" wrapText="1"/>
    </xf>
    <xf numFmtId="3" fontId="4" fillId="26" borderId="3" xfId="0" applyNumberFormat="1" applyFont="1" applyFill="1" applyBorder="1" applyAlignment="1">
      <alignment horizontal="center" vertical="center" wrapText="1"/>
    </xf>
    <xf numFmtId="3" fontId="4" fillId="0" borderId="3" xfId="0" quotePrefix="1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81" fillId="0" borderId="3" xfId="0" quotePrefix="1" applyNumberFormat="1" applyFont="1" applyFill="1" applyBorder="1" applyAlignment="1">
      <alignment horizontal="left" vertical="top" wrapText="1"/>
    </xf>
    <xf numFmtId="3" fontId="81" fillId="0" borderId="3" xfId="0" applyNumberFormat="1" applyFont="1" applyFill="1" applyBorder="1" applyAlignment="1">
      <alignment horizontal="center" vertical="center" wrapText="1"/>
    </xf>
    <xf numFmtId="3" fontId="81" fillId="0" borderId="3" xfId="0" applyNumberFormat="1" applyFont="1" applyFill="1" applyBorder="1" applyAlignment="1">
      <alignment horizontal="left" vertical="center" wrapText="1"/>
    </xf>
    <xf numFmtId="170" fontId="81" fillId="0" borderId="3" xfId="0" applyNumberFormat="1" applyFont="1" applyFill="1" applyBorder="1" applyAlignment="1">
      <alignment horizontal="left" vertical="center" wrapText="1"/>
    </xf>
    <xf numFmtId="3" fontId="82" fillId="0" borderId="3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vertical="center" wrapText="1"/>
    </xf>
    <xf numFmtId="3" fontId="4" fillId="0" borderId="3" xfId="248" applyNumberFormat="1" applyFont="1" applyFill="1" applyBorder="1" applyAlignment="1">
      <alignment horizontal="center" vertical="center" wrapText="1"/>
    </xf>
    <xf numFmtId="3" fontId="6" fillId="0" borderId="3" xfId="248" applyNumberFormat="1" applyFont="1" applyFill="1" applyBorder="1" applyAlignment="1">
      <alignment horizontal="center" vertical="center" wrapText="1"/>
    </xf>
    <xf numFmtId="3" fontId="5" fillId="0" borderId="3" xfId="248" applyNumberFormat="1" applyFont="1" applyFill="1" applyBorder="1" applyAlignment="1">
      <alignment horizontal="center" vertical="center" wrapText="1"/>
    </xf>
    <xf numFmtId="0" fontId="4" fillId="26" borderId="3" xfId="248" applyFont="1" applyFill="1" applyBorder="1" applyAlignment="1">
      <alignment horizontal="left" vertical="center" wrapText="1"/>
    </xf>
    <xf numFmtId="170" fontId="4" fillId="26" borderId="3" xfId="248" applyNumberFormat="1" applyFont="1" applyFill="1" applyBorder="1" applyAlignment="1">
      <alignment horizontal="center" vertical="center" wrapText="1"/>
    </xf>
    <xf numFmtId="3" fontId="4" fillId="26" borderId="3" xfId="248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center"/>
    </xf>
    <xf numFmtId="0" fontId="6" fillId="0" borderId="3" xfId="248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74" fillId="0" borderId="3" xfId="0" applyFont="1" applyFill="1" applyBorder="1" applyAlignment="1">
      <alignment horizontal="center" vertical="center" wrapText="1"/>
    </xf>
    <xf numFmtId="0" fontId="9" fillId="0" borderId="3" xfId="248" applyFont="1" applyFill="1" applyBorder="1" applyAlignment="1">
      <alignment horizontal="center" vertical="center" wrapText="1"/>
    </xf>
    <xf numFmtId="0" fontId="70" fillId="0" borderId="3" xfId="248" applyFont="1" applyFill="1" applyBorder="1" applyAlignment="1">
      <alignment horizontal="center" vertical="center" wrapText="1"/>
    </xf>
    <xf numFmtId="0" fontId="71" fillId="0" borderId="3" xfId="248" applyFont="1" applyFill="1" applyBorder="1" applyAlignment="1">
      <alignment horizontal="center" vertical="center" wrapText="1"/>
    </xf>
    <xf numFmtId="0" fontId="70" fillId="26" borderId="3" xfId="248" applyFont="1" applyFill="1" applyBorder="1" applyAlignment="1">
      <alignment horizontal="center" vertical="center" wrapText="1"/>
    </xf>
    <xf numFmtId="0" fontId="9" fillId="0" borderId="0" xfId="248" applyFont="1" applyFill="1" applyBorder="1" applyAlignment="1">
      <alignment horizontal="center" vertical="center"/>
    </xf>
    <xf numFmtId="170" fontId="85" fillId="0" borderId="3" xfId="248" applyNumberFormat="1" applyFont="1" applyFill="1" applyBorder="1" applyAlignment="1">
      <alignment horizontal="center" vertical="center" wrapText="1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72" fillId="0" borderId="0" xfId="0" applyFont="1" applyFill="1" applyBorder="1" applyAlignment="1">
      <alignment horizontal="left" wrapText="1"/>
    </xf>
    <xf numFmtId="170" fontId="6" fillId="0" borderId="0" xfId="0" applyNumberFormat="1" applyFont="1" applyFill="1" applyBorder="1" applyAlignment="1"/>
    <xf numFmtId="0" fontId="5" fillId="0" borderId="0" xfId="0" quotePrefix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 shrinkToFit="1"/>
    </xf>
    <xf numFmtId="0" fontId="5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26" borderId="3" xfId="0" applyFont="1" applyFill="1" applyBorder="1" applyAlignment="1">
      <alignment horizontal="left" vertical="center" wrapText="1"/>
    </xf>
    <xf numFmtId="0" fontId="5" fillId="26" borderId="3" xfId="0" applyFont="1" applyFill="1" applyBorder="1" applyAlignment="1">
      <alignment horizontal="center" vertical="center"/>
    </xf>
    <xf numFmtId="170" fontId="4" fillId="26" borderId="3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left" vertical="center" wrapText="1"/>
    </xf>
    <xf numFmtId="0" fontId="4" fillId="22" borderId="3" xfId="0" quotePrefix="1" applyNumberFormat="1" applyFont="1" applyFill="1" applyBorder="1" applyAlignment="1">
      <alignment horizontal="center" vertical="center" wrapText="1"/>
    </xf>
    <xf numFmtId="170" fontId="4" fillId="22" borderId="3" xfId="0" quotePrefix="1" applyNumberFormat="1" applyFont="1" applyFill="1" applyBorder="1" applyAlignment="1">
      <alignment horizontal="center" vertical="center" wrapText="1"/>
    </xf>
    <xf numFmtId="3" fontId="4" fillId="22" borderId="3" xfId="0" quotePrefix="1" applyNumberFormat="1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/>
    <xf numFmtId="170" fontId="5" fillId="0" borderId="13" xfId="0" applyNumberFormat="1" applyFont="1" applyFill="1" applyBorder="1" applyAlignment="1">
      <alignment horizontal="center" wrapText="1"/>
    </xf>
    <xf numFmtId="170" fontId="77" fillId="22" borderId="3" xfId="0" quotePrefix="1" applyNumberFormat="1" applyFont="1" applyFill="1" applyBorder="1" applyAlignment="1">
      <alignment horizontal="center" vertical="center" wrapText="1"/>
    </xf>
    <xf numFmtId="170" fontId="71" fillId="22" borderId="3" xfId="0" quotePrefix="1" applyNumberFormat="1" applyFont="1" applyFill="1" applyBorder="1" applyAlignment="1">
      <alignment horizontal="center" vertical="center" wrapText="1"/>
    </xf>
    <xf numFmtId="3" fontId="71" fillId="0" borderId="3" xfId="0" applyNumberFormat="1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center" vertical="center"/>
    </xf>
    <xf numFmtId="170" fontId="71" fillId="0" borderId="24" xfId="0" applyNumberFormat="1" applyFont="1" applyFill="1" applyBorder="1" applyAlignment="1">
      <alignment horizontal="center" vertical="center"/>
    </xf>
    <xf numFmtId="170" fontId="71" fillId="0" borderId="14" xfId="0" applyNumberFormat="1" applyFont="1" applyFill="1" applyBorder="1" applyAlignment="1">
      <alignment horizontal="center" vertical="center"/>
    </xf>
    <xf numFmtId="3" fontId="70" fillId="22" borderId="3" xfId="0" quotePrefix="1" applyNumberFormat="1" applyFont="1" applyFill="1" applyBorder="1" applyAlignment="1">
      <alignment horizontal="center" vertical="center" wrapText="1"/>
    </xf>
    <xf numFmtId="0" fontId="81" fillId="0" borderId="0" xfId="0" applyFont="1" applyFill="1"/>
    <xf numFmtId="0" fontId="9" fillId="0" borderId="18" xfId="240" applyNumberFormat="1" applyFont="1" applyFill="1" applyBorder="1" applyAlignment="1">
      <alignment horizontal="center" vertical="top" wrapText="1"/>
    </xf>
    <xf numFmtId="0" fontId="5" fillId="0" borderId="3" xfId="240" applyFont="1" applyFill="1" applyBorder="1" applyAlignment="1">
      <alignment horizontal="center" vertical="center"/>
    </xf>
    <xf numFmtId="0" fontId="5" fillId="0" borderId="3" xfId="240" applyNumberFormat="1" applyFont="1" applyFill="1" applyBorder="1" applyAlignment="1">
      <alignment horizontal="center" vertical="center" wrapText="1"/>
    </xf>
    <xf numFmtId="4" fontId="5" fillId="0" borderId="3" xfId="240" applyNumberFormat="1" applyFont="1" applyFill="1" applyBorder="1" applyAlignment="1">
      <alignment horizontal="center" vertical="center" wrapText="1"/>
    </xf>
    <xf numFmtId="0" fontId="5" fillId="0" borderId="3" xfId="240" applyNumberFormat="1" applyFont="1" applyFill="1" applyBorder="1" applyAlignment="1">
      <alignment horizontal="left" vertical="top" wrapText="1"/>
    </xf>
    <xf numFmtId="177" fontId="5" fillId="0" borderId="3" xfId="240" applyNumberFormat="1" applyFont="1" applyFill="1" applyBorder="1" applyAlignment="1">
      <alignment horizontal="center" vertical="center" wrapText="1"/>
    </xf>
    <xf numFmtId="49" fontId="9" fillId="0" borderId="3" xfId="240" applyNumberFormat="1" applyFont="1" applyFill="1" applyBorder="1" applyAlignment="1">
      <alignment horizontal="left" vertical="center" wrapText="1"/>
    </xf>
    <xf numFmtId="49" fontId="5" fillId="0" borderId="3" xfId="240" applyNumberFormat="1" applyFont="1" applyFill="1" applyBorder="1" applyAlignment="1">
      <alignment horizontal="left" vertical="center" wrapText="1"/>
    </xf>
    <xf numFmtId="0" fontId="5" fillId="0" borderId="3" xfId="240" applyNumberFormat="1" applyFont="1" applyFill="1" applyBorder="1" applyAlignment="1">
      <alignment horizontal="left" vertical="center" wrapText="1"/>
    </xf>
    <xf numFmtId="170" fontId="5" fillId="0" borderId="3" xfId="240" applyNumberFormat="1" applyFont="1" applyFill="1" applyBorder="1" applyAlignment="1">
      <alignment horizontal="center" vertical="center" wrapText="1"/>
    </xf>
    <xf numFmtId="4" fontId="5" fillId="0" borderId="3" xfId="240" applyNumberFormat="1" applyFont="1" applyFill="1" applyBorder="1" applyAlignment="1">
      <alignment horizontal="left" vertical="center" wrapText="1"/>
    </xf>
    <xf numFmtId="177" fontId="5" fillId="0" borderId="3" xfId="240" applyNumberFormat="1" applyFont="1" applyFill="1" applyBorder="1" applyAlignment="1">
      <alignment horizontal="left" vertical="center" wrapText="1"/>
    </xf>
    <xf numFmtId="170" fontId="4" fillId="0" borderId="0" xfId="0" quotePrefix="1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74" fillId="0" borderId="0" xfId="0" applyFont="1" applyFill="1"/>
    <xf numFmtId="0" fontId="9" fillId="0" borderId="3" xfId="0" applyFont="1" applyFill="1" applyBorder="1" applyAlignment="1">
      <alignment horizontal="center" vertical="top" wrapText="1"/>
    </xf>
    <xf numFmtId="170" fontId="9" fillId="0" borderId="3" xfId="0" applyNumberFormat="1" applyFont="1" applyFill="1" applyBorder="1" applyAlignment="1">
      <alignment horizontal="center" vertical="center" wrapText="1"/>
    </xf>
    <xf numFmtId="169" fontId="70" fillId="0" borderId="3" xfId="0" applyNumberFormat="1" applyFont="1" applyFill="1" applyBorder="1" applyAlignment="1">
      <alignment horizontal="center" vertical="center" wrapText="1"/>
    </xf>
    <xf numFmtId="1" fontId="70" fillId="0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170" fontId="69" fillId="0" borderId="0" xfId="0" applyNumberFormat="1" applyFont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top" wrapText="1"/>
    </xf>
    <xf numFmtId="3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center"/>
    </xf>
    <xf numFmtId="0" fontId="6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center" wrapText="1" shrinkToFit="1"/>
    </xf>
    <xf numFmtId="0" fontId="83" fillId="0" borderId="3" xfId="0" applyFont="1" applyFill="1" applyBorder="1" applyAlignment="1">
      <alignment horizontal="center" vertical="center" wrapText="1" shrinkToFi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49" fontId="9" fillId="0" borderId="3" xfId="0" applyNumberFormat="1" applyFont="1" applyFill="1" applyBorder="1" applyAlignment="1">
      <alignment horizontal="left" vertical="center" wrapText="1"/>
    </xf>
    <xf numFmtId="178" fontId="9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/>
    </xf>
    <xf numFmtId="170" fontId="82" fillId="0" borderId="3" xfId="0" applyNumberFormat="1" applyFont="1" applyFill="1" applyBorder="1" applyAlignment="1">
      <alignment horizontal="center" vertical="center" wrapText="1"/>
    </xf>
    <xf numFmtId="49" fontId="81" fillId="0" borderId="14" xfId="0" applyNumberFormat="1" applyFont="1" applyFill="1" applyBorder="1" applyAlignment="1">
      <alignment horizontal="center" vertical="center" wrapText="1"/>
    </xf>
    <xf numFmtId="49" fontId="81" fillId="0" borderId="3" xfId="0" applyNumberFormat="1" applyFont="1" applyFill="1" applyBorder="1" applyAlignment="1">
      <alignment horizontal="center" vertical="center" wrapText="1"/>
    </xf>
    <xf numFmtId="170" fontId="81" fillId="0" borderId="3" xfId="0" applyNumberFormat="1" applyFont="1" applyFill="1" applyBorder="1" applyAlignment="1">
      <alignment horizontal="center" vertical="center" wrapText="1"/>
    </xf>
    <xf numFmtId="3" fontId="81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center"/>
    </xf>
    <xf numFmtId="0" fontId="9" fillId="0" borderId="15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/>
    </xf>
    <xf numFmtId="0" fontId="4" fillId="0" borderId="0" xfId="0" applyFont="1" applyFill="1" applyAlignment="1"/>
    <xf numFmtId="0" fontId="74" fillId="0" borderId="0" xfId="0" applyFont="1" applyFill="1" applyAlignment="1">
      <alignment vertical="center"/>
    </xf>
    <xf numFmtId="1" fontId="9" fillId="30" borderId="3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top"/>
    </xf>
    <xf numFmtId="170" fontId="82" fillId="0" borderId="1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0" fillId="0" borderId="0" xfId="0" applyFont="1" applyFill="1" applyBorder="1" applyAlignment="1">
      <alignment horizontal="left" wrapText="1"/>
    </xf>
    <xf numFmtId="170" fontId="87" fillId="30" borderId="3" xfId="0" applyNumberFormat="1" applyFont="1" applyFill="1" applyBorder="1" applyAlignment="1">
      <alignment horizontal="center" vertical="center" wrapText="1"/>
    </xf>
    <xf numFmtId="170" fontId="88" fillId="30" borderId="3" xfId="0" applyNumberFormat="1" applyFont="1" applyFill="1" applyBorder="1" applyAlignment="1">
      <alignment horizontal="center" vertical="center" wrapText="1"/>
    </xf>
    <xf numFmtId="170" fontId="91" fillId="0" borderId="3" xfId="0" applyNumberFormat="1" applyFont="1" applyFill="1" applyBorder="1" applyAlignment="1">
      <alignment horizontal="center" vertical="center" wrapText="1"/>
    </xf>
    <xf numFmtId="2" fontId="9" fillId="30" borderId="3" xfId="0" applyNumberFormat="1" applyFont="1" applyFill="1" applyBorder="1" applyAlignment="1">
      <alignment horizontal="center" vertical="center" wrapText="1"/>
    </xf>
    <xf numFmtId="170" fontId="0" fillId="0" borderId="0" xfId="0" applyNumberFormat="1"/>
    <xf numFmtId="170" fontId="92" fillId="0" borderId="3" xfId="0" applyNumberFormat="1" applyFont="1" applyFill="1" applyBorder="1" applyAlignment="1">
      <alignment horizontal="center" vertical="center" wrapText="1"/>
    </xf>
    <xf numFmtId="170" fontId="88" fillId="0" borderId="3" xfId="0" applyNumberFormat="1" applyFont="1" applyFill="1" applyBorder="1" applyAlignment="1">
      <alignment horizontal="center" vertical="center" wrapText="1"/>
    </xf>
    <xf numFmtId="170" fontId="93" fillId="22" borderId="3" xfId="0" quotePrefix="1" applyNumberFormat="1" applyFont="1" applyFill="1" applyBorder="1" applyAlignment="1">
      <alignment horizontal="center" vertical="center" wrapText="1"/>
    </xf>
    <xf numFmtId="170" fontId="92" fillId="22" borderId="3" xfId="0" quotePrefix="1" applyNumberFormat="1" applyFont="1" applyFill="1" applyBorder="1" applyAlignment="1">
      <alignment horizontal="center" vertical="center" wrapText="1"/>
    </xf>
    <xf numFmtId="170" fontId="87" fillId="22" borderId="3" xfId="0" quotePrefix="1" applyNumberFormat="1" applyFont="1" applyFill="1" applyBorder="1" applyAlignment="1">
      <alignment horizontal="center" vertical="center" wrapText="1"/>
    </xf>
    <xf numFmtId="170" fontId="94" fillId="22" borderId="3" xfId="0" quotePrefix="1" applyNumberFormat="1" applyFont="1" applyFill="1" applyBorder="1" applyAlignment="1">
      <alignment horizontal="center" vertical="center" wrapText="1"/>
    </xf>
    <xf numFmtId="3" fontId="95" fillId="0" borderId="3" xfId="0" applyNumberFormat="1" applyFont="1" applyFill="1" applyBorder="1" applyAlignment="1">
      <alignment horizontal="left" vertical="top" wrapText="1"/>
    </xf>
    <xf numFmtId="3" fontId="95" fillId="0" borderId="3" xfId="0" applyNumberFormat="1" applyFont="1" applyFill="1" applyBorder="1" applyAlignment="1">
      <alignment horizontal="center" vertical="center" wrapText="1"/>
    </xf>
    <xf numFmtId="3" fontId="9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0" fontId="9" fillId="30" borderId="3" xfId="0" applyFont="1" applyFill="1" applyBorder="1" applyAlignment="1">
      <alignment horizontal="center" vertical="center" wrapText="1"/>
    </xf>
    <xf numFmtId="0" fontId="9" fillId="30" borderId="3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/>
    </xf>
    <xf numFmtId="0" fontId="79" fillId="0" borderId="3" xfId="0" applyFont="1" applyBorder="1"/>
    <xf numFmtId="17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0" fontId="0" fillId="0" borderId="0" xfId="0" applyNumberFormat="1" applyFont="1"/>
    <xf numFmtId="170" fontId="5" fillId="30" borderId="3" xfId="0" applyNumberFormat="1" applyFont="1" applyFill="1" applyBorder="1" applyAlignment="1">
      <alignment horizontal="center" vertical="center" wrapText="1"/>
    </xf>
    <xf numFmtId="170" fontId="80" fillId="31" borderId="14" xfId="0" quotePrefix="1" applyNumberFormat="1" applyFont="1" applyFill="1" applyBorder="1" applyAlignment="1">
      <alignment horizontal="left" vertical="center" wrapText="1"/>
    </xf>
    <xf numFmtId="170" fontId="71" fillId="0" borderId="14" xfId="0" applyNumberFormat="1" applyFont="1" applyFill="1" applyBorder="1" applyAlignment="1">
      <alignment horizontal="center" vertical="center" wrapText="1"/>
    </xf>
    <xf numFmtId="170" fontId="5" fillId="31" borderId="14" xfId="0" applyNumberFormat="1" applyFont="1" applyFill="1" applyBorder="1" applyAlignment="1">
      <alignment horizontal="left" vertical="center" wrapText="1"/>
    </xf>
    <xf numFmtId="170" fontId="75" fillId="0" borderId="14" xfId="0" quotePrefix="1" applyNumberFormat="1" applyFont="1" applyFill="1" applyBorder="1" applyAlignment="1">
      <alignment horizontal="center" vertical="center" wrapText="1"/>
    </xf>
    <xf numFmtId="0" fontId="0" fillId="0" borderId="3" xfId="0" applyFont="1" applyBorder="1"/>
    <xf numFmtId="170" fontId="5" fillId="30" borderId="3" xfId="248" applyNumberFormat="1" applyFont="1" applyFill="1" applyBorder="1" applyAlignment="1">
      <alignment horizontal="center" vertical="center" wrapText="1"/>
    </xf>
    <xf numFmtId="170" fontId="4" fillId="30" borderId="3" xfId="248" applyNumberFormat="1" applyFont="1" applyFill="1" applyBorder="1" applyAlignment="1">
      <alignment horizontal="center" vertical="center" wrapText="1"/>
    </xf>
    <xf numFmtId="170" fontId="6" fillId="30" borderId="3" xfId="248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 shrinkToFit="1"/>
    </xf>
    <xf numFmtId="3" fontId="95" fillId="30" borderId="3" xfId="0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wrapText="1"/>
    </xf>
    <xf numFmtId="170" fontId="5" fillId="0" borderId="16" xfId="0" applyNumberFormat="1" applyFont="1" applyFill="1" applyBorder="1" applyAlignment="1">
      <alignment vertical="center" wrapText="1"/>
    </xf>
    <xf numFmtId="170" fontId="88" fillId="0" borderId="17" xfId="0" applyNumberFormat="1" applyFont="1" applyFill="1" applyBorder="1" applyAlignment="1">
      <alignment vertical="center" wrapText="1"/>
    </xf>
    <xf numFmtId="170" fontId="95" fillId="0" borderId="3" xfId="0" applyNumberFormat="1" applyFont="1" applyFill="1" applyBorder="1" applyAlignment="1">
      <alignment horizontal="center" vertical="center" wrapText="1"/>
    </xf>
    <xf numFmtId="3" fontId="81" fillId="0" borderId="17" xfId="0" applyNumberFormat="1" applyFont="1" applyFill="1" applyBorder="1" applyAlignment="1">
      <alignment horizontal="center" vertical="center" wrapText="1"/>
    </xf>
    <xf numFmtId="3" fontId="82" fillId="0" borderId="17" xfId="0" applyNumberFormat="1" applyFont="1" applyFill="1" applyBorder="1" applyAlignment="1">
      <alignment horizontal="center" vertical="center" wrapText="1"/>
    </xf>
    <xf numFmtId="170" fontId="81" fillId="0" borderId="17" xfId="0" applyNumberFormat="1" applyFont="1" applyFill="1" applyBorder="1" applyAlignment="1">
      <alignment horizontal="center" vertical="center" wrapText="1"/>
    </xf>
    <xf numFmtId="170" fontId="85" fillId="0" borderId="3" xfId="0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0" fontId="96" fillId="0" borderId="16" xfId="0" applyFont="1" applyFill="1" applyBorder="1" applyAlignment="1">
      <alignment vertical="center" wrapText="1"/>
    </xf>
    <xf numFmtId="3" fontId="77" fillId="0" borderId="3" xfId="0" applyNumberFormat="1" applyFont="1" applyFill="1" applyBorder="1" applyAlignment="1">
      <alignment horizontal="center" vertical="center" wrapText="1"/>
    </xf>
    <xf numFmtId="170" fontId="9" fillId="0" borderId="17" xfId="0" applyNumberFormat="1" applyFont="1" applyFill="1" applyBorder="1" applyAlignment="1">
      <alignment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170" fontId="5" fillId="30" borderId="3" xfId="0" quotePrefix="1" applyNumberFormat="1" applyFont="1" applyFill="1" applyBorder="1" applyAlignment="1">
      <alignment horizontal="center" vertical="center" wrapText="1"/>
    </xf>
    <xf numFmtId="170" fontId="82" fillId="29" borderId="3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179" fontId="69" fillId="0" borderId="0" xfId="0" applyNumberFormat="1" applyFont="1" applyAlignment="1">
      <alignment horizontal="left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0" fontId="98" fillId="22" borderId="3" xfId="0" quotePrefix="1" applyNumberFormat="1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9" fillId="30" borderId="3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0" fillId="0" borderId="16" xfId="0" applyBorder="1"/>
    <xf numFmtId="0" fontId="0" fillId="0" borderId="14" xfId="0" applyBorder="1"/>
    <xf numFmtId="0" fontId="4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4" fillId="29" borderId="3" xfId="0" applyFont="1" applyFill="1" applyBorder="1" applyAlignment="1">
      <alignment horizontal="left" vertical="top" wrapText="1"/>
    </xf>
    <xf numFmtId="0" fontId="70" fillId="0" borderId="3" xfId="0" applyFont="1" applyFill="1" applyBorder="1" applyAlignment="1">
      <alignment horizontal="left" vertical="top" wrapText="1"/>
    </xf>
    <xf numFmtId="170" fontId="99" fillId="0" borderId="3" xfId="0" applyNumberFormat="1" applyFont="1" applyFill="1" applyBorder="1" applyAlignment="1">
      <alignment horizontal="center" vertical="center" wrapText="1"/>
    </xf>
    <xf numFmtId="4" fontId="4" fillId="29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quotePrefix="1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70" fillId="0" borderId="3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top" wrapText="1"/>
    </xf>
    <xf numFmtId="0" fontId="76" fillId="0" borderId="15" xfId="0" applyFont="1" applyBorder="1" applyAlignment="1">
      <alignment horizontal="center" vertical="top" wrapText="1"/>
    </xf>
    <xf numFmtId="0" fontId="70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 wrapText="1"/>
    </xf>
    <xf numFmtId="170" fontId="9" fillId="0" borderId="0" xfId="0" quotePrefix="1" applyNumberFormat="1" applyFont="1" applyFill="1" applyBorder="1" applyAlignment="1">
      <alignment horizontal="center" vertical="center" wrapText="1"/>
    </xf>
    <xf numFmtId="0" fontId="70" fillId="0" borderId="17" xfId="0" applyFont="1" applyFill="1" applyBorder="1" applyAlignment="1" applyProtection="1">
      <alignment horizontal="center"/>
      <protection locked="0"/>
    </xf>
    <xf numFmtId="0" fontId="70" fillId="0" borderId="16" xfId="0" applyFont="1" applyFill="1" applyBorder="1" applyAlignment="1" applyProtection="1">
      <alignment horizontal="center"/>
      <protection locked="0"/>
    </xf>
    <xf numFmtId="0" fontId="70" fillId="0" borderId="14" xfId="0" applyFont="1" applyFill="1" applyBorder="1" applyAlignment="1" applyProtection="1">
      <alignment horizontal="center"/>
      <protection locked="0"/>
    </xf>
    <xf numFmtId="0" fontId="70" fillId="0" borderId="15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horizontal="center" vertical="center" wrapText="1"/>
    </xf>
    <xf numFmtId="3" fontId="81" fillId="22" borderId="18" xfId="0" applyNumberFormat="1" applyFont="1" applyFill="1" applyBorder="1" applyAlignment="1">
      <alignment horizontal="left" vertical="center" wrapText="1"/>
    </xf>
    <xf numFmtId="3" fontId="81" fillId="22" borderId="15" xfId="0" applyNumberFormat="1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top" wrapText="1" shrinkToFit="1"/>
    </xf>
    <xf numFmtId="0" fontId="9" fillId="0" borderId="21" xfId="0" applyFont="1" applyFill="1" applyBorder="1" applyAlignment="1">
      <alignment horizontal="center" vertical="top" wrapText="1" shrinkToFit="1"/>
    </xf>
    <xf numFmtId="3" fontId="81" fillId="0" borderId="18" xfId="0" applyNumberFormat="1" applyFont="1" applyFill="1" applyBorder="1" applyAlignment="1">
      <alignment horizontal="left" vertical="top" wrapText="1"/>
    </xf>
    <xf numFmtId="3" fontId="81" fillId="0" borderId="15" xfId="0" applyNumberFormat="1" applyFont="1" applyFill="1" applyBorder="1" applyAlignment="1">
      <alignment horizontal="left" vertical="top" wrapText="1"/>
    </xf>
    <xf numFmtId="3" fontId="81" fillId="0" borderId="18" xfId="0" applyNumberFormat="1" applyFont="1" applyFill="1" applyBorder="1" applyAlignment="1">
      <alignment horizontal="left" vertical="center" wrapText="1"/>
    </xf>
    <xf numFmtId="3" fontId="81" fillId="0" borderId="15" xfId="0" applyNumberFormat="1" applyFont="1" applyFill="1" applyBorder="1" applyAlignment="1">
      <alignment horizontal="left" vertical="center" wrapText="1"/>
    </xf>
    <xf numFmtId="0" fontId="81" fillId="0" borderId="18" xfId="0" applyFont="1" applyFill="1" applyBorder="1" applyAlignment="1">
      <alignment horizontal="left" vertical="top" wrapText="1"/>
    </xf>
    <xf numFmtId="0" fontId="81" fillId="0" borderId="2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top" wrapText="1"/>
    </xf>
    <xf numFmtId="170" fontId="9" fillId="0" borderId="0" xfId="0" applyNumberFormat="1" applyFont="1" applyFill="1" applyBorder="1" applyAlignment="1">
      <alignment horizontal="left" vertical="center" wrapText="1"/>
    </xf>
    <xf numFmtId="0" fontId="70" fillId="0" borderId="23" xfId="0" applyFont="1" applyFill="1" applyBorder="1" applyAlignment="1">
      <alignment horizontal="center"/>
    </xf>
    <xf numFmtId="0" fontId="4" fillId="0" borderId="0" xfId="248" applyFont="1" applyFill="1" applyBorder="1" applyAlignment="1">
      <alignment horizontal="center" vertical="center"/>
    </xf>
    <xf numFmtId="0" fontId="9" fillId="0" borderId="18" xfId="248" applyFont="1" applyFill="1" applyBorder="1" applyAlignment="1">
      <alignment horizontal="center" vertical="top" wrapText="1"/>
    </xf>
    <xf numFmtId="0" fontId="9" fillId="0" borderId="15" xfId="248" applyFont="1" applyFill="1" applyBorder="1" applyAlignment="1">
      <alignment horizontal="center" vertical="top" wrapText="1"/>
    </xf>
    <xf numFmtId="0" fontId="4" fillId="0" borderId="3" xfId="248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 wrapText="1" shrinkToFit="1"/>
    </xf>
    <xf numFmtId="0" fontId="5" fillId="0" borderId="3" xfId="248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0" fontId="5" fillId="0" borderId="0" xfId="0" applyNumberFormat="1" applyFont="1" applyFill="1" applyBorder="1" applyAlignment="1">
      <alignment horizontal="left" vertical="center" wrapText="1"/>
    </xf>
    <xf numFmtId="170" fontId="5" fillId="0" borderId="0" xfId="0" quotePrefix="1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0" fontId="74" fillId="0" borderId="0" xfId="0" applyFont="1" applyFill="1" applyAlignment="1">
      <alignment horizontal="center" vertical="center"/>
    </xf>
    <xf numFmtId="0" fontId="5" fillId="0" borderId="18" xfId="248" applyFont="1" applyFill="1" applyBorder="1" applyAlignment="1">
      <alignment horizontal="center" vertical="top" wrapText="1"/>
    </xf>
    <xf numFmtId="0" fontId="5" fillId="0" borderId="15" xfId="248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 shrinkToFit="1"/>
    </xf>
    <xf numFmtId="0" fontId="5" fillId="0" borderId="15" xfId="0" applyFont="1" applyFill="1" applyBorder="1" applyAlignment="1">
      <alignment horizontal="center" vertical="top" wrapText="1" shrinkToFi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8" xfId="248" applyFont="1" applyFill="1" applyBorder="1" applyAlignment="1">
      <alignment horizontal="center" vertical="center" wrapText="1"/>
    </xf>
    <xf numFmtId="0" fontId="9" fillId="0" borderId="15" xfId="248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 shrinkToFit="1"/>
    </xf>
    <xf numFmtId="0" fontId="9" fillId="0" borderId="3" xfId="0" applyFont="1" applyFill="1" applyBorder="1" applyAlignment="1">
      <alignment horizontal="center" vertical="top" wrapText="1"/>
    </xf>
    <xf numFmtId="0" fontId="70" fillId="0" borderId="3" xfId="248" applyFont="1" applyFill="1" applyBorder="1" applyAlignment="1">
      <alignment horizontal="left" vertical="center" wrapText="1"/>
    </xf>
    <xf numFmtId="0" fontId="74" fillId="0" borderId="24" xfId="0" applyFont="1" applyFill="1" applyBorder="1" applyAlignment="1">
      <alignment horizontal="center" vertical="top" wrapText="1" shrinkToFit="1"/>
    </xf>
    <xf numFmtId="0" fontId="74" fillId="0" borderId="21" xfId="0" applyFont="1" applyFill="1" applyBorder="1" applyAlignment="1">
      <alignment horizontal="center" vertical="top" wrapText="1" shrinkToFit="1"/>
    </xf>
    <xf numFmtId="0" fontId="5" fillId="0" borderId="0" xfId="0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69" fillId="0" borderId="3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3" fontId="9" fillId="0" borderId="3" xfId="0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170" fontId="69" fillId="0" borderId="3" xfId="0" applyNumberFormat="1" applyFont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3" xfId="0" applyFont="1" applyFill="1" applyBorder="1" applyAlignment="1">
      <alignment vertical="center"/>
    </xf>
    <xf numFmtId="0" fontId="6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top" wrapText="1"/>
    </xf>
    <xf numFmtId="0" fontId="69" fillId="0" borderId="3" xfId="0" applyFont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9" fillId="30" borderId="17" xfId="0" applyFont="1" applyFill="1" applyBorder="1" applyAlignment="1">
      <alignment horizontal="center" vertical="center" wrapText="1"/>
    </xf>
    <xf numFmtId="0" fontId="9" fillId="30" borderId="14" xfId="0" applyFont="1" applyFill="1" applyBorder="1" applyAlignment="1">
      <alignment horizontal="center" vertical="center" wrapText="1"/>
    </xf>
    <xf numFmtId="0" fontId="9" fillId="30" borderId="3" xfId="0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left" vertical="center"/>
    </xf>
    <xf numFmtId="0" fontId="69" fillId="0" borderId="3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15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3" fontId="9" fillId="0" borderId="17" xfId="0" applyNumberFormat="1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horizontal="left" vertical="center" wrapText="1"/>
    </xf>
    <xf numFmtId="0" fontId="71" fillId="0" borderId="17" xfId="0" applyFont="1" applyBorder="1" applyAlignment="1">
      <alignment horizontal="left" vertical="top" wrapText="1"/>
    </xf>
    <xf numFmtId="0" fontId="71" fillId="0" borderId="16" xfId="0" applyFont="1" applyBorder="1" applyAlignment="1">
      <alignment horizontal="left" vertical="top" wrapText="1"/>
    </xf>
    <xf numFmtId="0" fontId="71" fillId="0" borderId="14" xfId="0" applyFont="1" applyBorder="1" applyAlignment="1">
      <alignment horizontal="left" vertical="top" wrapText="1"/>
    </xf>
    <xf numFmtId="0" fontId="70" fillId="0" borderId="3" xfId="0" applyFont="1" applyFill="1" applyBorder="1" applyAlignment="1">
      <alignment horizontal="left" vertical="center" wrapText="1"/>
    </xf>
    <xf numFmtId="0" fontId="71" fillId="0" borderId="17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left" vertical="center" wrapText="1"/>
    </xf>
    <xf numFmtId="0" fontId="71" fillId="0" borderId="14" xfId="0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left" vertical="center" wrapText="1"/>
    </xf>
    <xf numFmtId="0" fontId="70" fillId="0" borderId="16" xfId="0" applyFont="1" applyFill="1" applyBorder="1" applyAlignment="1">
      <alignment horizontal="left" vertical="center" wrapText="1"/>
    </xf>
    <xf numFmtId="0" fontId="70" fillId="0" borderId="14" xfId="0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71" fillId="0" borderId="1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center" vertical="top" wrapText="1"/>
    </xf>
    <xf numFmtId="0" fontId="4" fillId="0" borderId="0" xfId="240" applyNumberFormat="1" applyFont="1" applyFill="1" applyBorder="1" applyAlignment="1">
      <alignment horizontal="center" vertical="center" wrapText="1"/>
    </xf>
    <xf numFmtId="0" fontId="4" fillId="0" borderId="17" xfId="24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7" xfId="240" applyFont="1" applyFill="1" applyBorder="1" applyAlignment="1">
      <alignment horizontal="left" vertical="center"/>
    </xf>
    <xf numFmtId="0" fontId="4" fillId="0" borderId="0" xfId="0" quotePrefix="1" applyFont="1" applyFill="1" applyBorder="1" applyAlignment="1">
      <alignment horizontal="center"/>
    </xf>
    <xf numFmtId="170" fontId="5" fillId="0" borderId="3" xfId="0" applyNumberFormat="1" applyFont="1" applyFill="1" applyBorder="1" applyAlignment="1">
      <alignment horizontal="center" vertical="center" wrapText="1"/>
    </xf>
    <xf numFmtId="170" fontId="5" fillId="0" borderId="17" xfId="0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left" vertical="top" wrapText="1"/>
    </xf>
    <xf numFmtId="0" fontId="69" fillId="0" borderId="14" xfId="0" applyNumberFormat="1" applyFont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/>
    <xf numFmtId="0" fontId="0" fillId="0" borderId="14" xfId="0" applyBorder="1"/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center" vertical="center" wrapText="1" shrinkToFit="1"/>
    </xf>
    <xf numFmtId="0" fontId="69" fillId="0" borderId="24" xfId="0" applyFont="1" applyBorder="1" applyAlignment="1">
      <alignment horizontal="center" vertical="center" wrapText="1" shrinkToFit="1"/>
    </xf>
    <xf numFmtId="0" fontId="9" fillId="0" borderId="26" xfId="0" applyFont="1" applyFill="1" applyBorder="1" applyAlignment="1">
      <alignment horizontal="center" vertical="center" wrapText="1" shrinkToFit="1"/>
    </xf>
    <xf numFmtId="0" fontId="69" fillId="0" borderId="21" xfId="0" applyFont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0" fillId="0" borderId="14" xfId="0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0" fontId="0" fillId="0" borderId="14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70" fontId="5" fillId="0" borderId="0" xfId="0" quotePrefix="1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356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" xfId="211" builtinId="4"/>
    <cellStyle name="Денежный 2" xfId="212"/>
    <cellStyle name="Денежный 3" xfId="213"/>
    <cellStyle name="Заголовок 1 2" xfId="214"/>
    <cellStyle name="Заголовок 1 3" xfId="215"/>
    <cellStyle name="Заголовок 2 2" xfId="216"/>
    <cellStyle name="Заголовок 2 3" xfId="217"/>
    <cellStyle name="Заголовок 3 2" xfId="218"/>
    <cellStyle name="Заголовок 3 3" xfId="219"/>
    <cellStyle name="Заголовок 4 2" xfId="220"/>
    <cellStyle name="Заголовок 4 3" xfId="221"/>
    <cellStyle name="Итог 2" xfId="222"/>
    <cellStyle name="Итог 3" xfId="223"/>
    <cellStyle name="Контрольная ячейка 2" xfId="224"/>
    <cellStyle name="Контрольная ячейка 3" xfId="225"/>
    <cellStyle name="Название 2" xfId="226"/>
    <cellStyle name="Название 3" xfId="227"/>
    <cellStyle name="Нейтральный 2" xfId="228"/>
    <cellStyle name="Нейтральный 3" xfId="229"/>
    <cellStyle name="Обычный" xfId="0" builtinId="0"/>
    <cellStyle name="Обычный 10" xfId="230"/>
    <cellStyle name="Обычный 11" xfId="231"/>
    <cellStyle name="Обычный 12" xfId="232"/>
    <cellStyle name="Обычный 13" xfId="233"/>
    <cellStyle name="Обычный 14" xfId="234"/>
    <cellStyle name="Обычный 15" xfId="235"/>
    <cellStyle name="Обычный 16" xfId="236"/>
    <cellStyle name="Обычный 17" xfId="237"/>
    <cellStyle name="Обычный 18" xfId="238"/>
    <cellStyle name="Обычный 19" xfId="239"/>
    <cellStyle name="Обычный 2" xfId="240"/>
    <cellStyle name="Обычный 2 10" xfId="241"/>
    <cellStyle name="Обычный 2 11" xfId="242"/>
    <cellStyle name="Обычный 2 12" xfId="243"/>
    <cellStyle name="Обычный 2 13" xfId="244"/>
    <cellStyle name="Обычный 2 14" xfId="245"/>
    <cellStyle name="Обычный 2 15" xfId="246"/>
    <cellStyle name="Обычный 2 16" xfId="247"/>
    <cellStyle name="Обычный 2 2" xfId="248"/>
    <cellStyle name="Обычный 2 2 2" xfId="249"/>
    <cellStyle name="Обычный 2 2 3" xfId="250"/>
    <cellStyle name="Обычный 2 2_Расшифровка прочих" xfId="251"/>
    <cellStyle name="Обычный 2 3" xfId="252"/>
    <cellStyle name="Обычный 2 4" xfId="253"/>
    <cellStyle name="Обычный 2 5" xfId="254"/>
    <cellStyle name="Обычный 2 6" xfId="255"/>
    <cellStyle name="Обычный 2 7" xfId="256"/>
    <cellStyle name="Обычный 2 8" xfId="257"/>
    <cellStyle name="Обычный 2 9" xfId="258"/>
    <cellStyle name="Обычный 2_2604-2010" xfId="259"/>
    <cellStyle name="Обычный 3" xfId="260"/>
    <cellStyle name="Обычный 3 10" xfId="261"/>
    <cellStyle name="Обычный 3 11" xfId="262"/>
    <cellStyle name="Обычный 3 12" xfId="263"/>
    <cellStyle name="Обычный 3 13" xfId="264"/>
    <cellStyle name="Обычный 3 14" xfId="265"/>
    <cellStyle name="Обычный 3 2" xfId="266"/>
    <cellStyle name="Обычный 3 3" xfId="267"/>
    <cellStyle name="Обычный 3 4" xfId="268"/>
    <cellStyle name="Обычный 3 5" xfId="269"/>
    <cellStyle name="Обычный 3 6" xfId="270"/>
    <cellStyle name="Обычный 3 7" xfId="271"/>
    <cellStyle name="Обычный 3 8" xfId="272"/>
    <cellStyle name="Обычный 3 9" xfId="273"/>
    <cellStyle name="Обычный 3_Дефицит_7 млрд_0608_бс" xfId="274"/>
    <cellStyle name="Обычный 4" xfId="275"/>
    <cellStyle name="Обычный 5" xfId="276"/>
    <cellStyle name="Обычный 5 2" xfId="277"/>
    <cellStyle name="Обычный 6" xfId="278"/>
    <cellStyle name="Обычный 6 2" xfId="279"/>
    <cellStyle name="Обычный 6 3" xfId="280"/>
    <cellStyle name="Обычный 6 4" xfId="281"/>
    <cellStyle name="Обычный 6_Дефицит_7 млрд_0608_бс" xfId="282"/>
    <cellStyle name="Обычный 7" xfId="283"/>
    <cellStyle name="Обычный 7 2" xfId="284"/>
    <cellStyle name="Обычный 8" xfId="285"/>
    <cellStyle name="Обычный 9" xfId="286"/>
    <cellStyle name="Обычный 9 2" xfId="287"/>
    <cellStyle name="Плохой 2" xfId="288"/>
    <cellStyle name="Плохой 3" xfId="289"/>
    <cellStyle name="Пояснение 2" xfId="290"/>
    <cellStyle name="Пояснение 3" xfId="291"/>
    <cellStyle name="Примечание 2" xfId="292"/>
    <cellStyle name="Примечание 3" xfId="293"/>
    <cellStyle name="Процентный 2" xfId="294"/>
    <cellStyle name="Процентный 2 10" xfId="295"/>
    <cellStyle name="Процентный 2 11" xfId="296"/>
    <cellStyle name="Процентный 2 12" xfId="297"/>
    <cellStyle name="Процентный 2 13" xfId="298"/>
    <cellStyle name="Процентный 2 14" xfId="299"/>
    <cellStyle name="Процентный 2 15" xfId="300"/>
    <cellStyle name="Процентный 2 16" xfId="301"/>
    <cellStyle name="Процентный 2 2" xfId="302"/>
    <cellStyle name="Процентный 2 3" xfId="303"/>
    <cellStyle name="Процентный 2 4" xfId="304"/>
    <cellStyle name="Процентный 2 5" xfId="305"/>
    <cellStyle name="Процентный 2 6" xfId="306"/>
    <cellStyle name="Процентный 2 7" xfId="307"/>
    <cellStyle name="Процентный 2 8" xfId="308"/>
    <cellStyle name="Процентный 2 9" xfId="309"/>
    <cellStyle name="Процентный 3" xfId="310"/>
    <cellStyle name="Процентный 4" xfId="311"/>
    <cellStyle name="Процентный 4 2" xfId="312"/>
    <cellStyle name="Связанная ячейка 2" xfId="313"/>
    <cellStyle name="Связанная ячейка 3" xfId="314"/>
    <cellStyle name="Стиль 1" xfId="315"/>
    <cellStyle name="Стиль 1 2" xfId="316"/>
    <cellStyle name="Стиль 1 3" xfId="317"/>
    <cellStyle name="Стиль 1 4" xfId="318"/>
    <cellStyle name="Стиль 1 5" xfId="319"/>
    <cellStyle name="Стиль 1 6" xfId="320"/>
    <cellStyle name="Стиль 1 7" xfId="321"/>
    <cellStyle name="Текст предупреждения 2" xfId="322"/>
    <cellStyle name="Текст предупреждения 3" xfId="323"/>
    <cellStyle name="Тысячи [0]_1.62" xfId="324"/>
    <cellStyle name="Тысячи_1.62" xfId="325"/>
    <cellStyle name="Финансовый 2" xfId="326"/>
    <cellStyle name="Финансовый 2 10" xfId="327"/>
    <cellStyle name="Финансовый 2 11" xfId="328"/>
    <cellStyle name="Финансовый 2 12" xfId="329"/>
    <cellStyle name="Финансовый 2 13" xfId="330"/>
    <cellStyle name="Финансовый 2 14" xfId="331"/>
    <cellStyle name="Финансовый 2 15" xfId="332"/>
    <cellStyle name="Финансовый 2 16" xfId="333"/>
    <cellStyle name="Финансовый 2 17" xfId="334"/>
    <cellStyle name="Финансовый 2 2" xfId="335"/>
    <cellStyle name="Финансовый 2 3" xfId="336"/>
    <cellStyle name="Финансовый 2 4" xfId="337"/>
    <cellStyle name="Финансовый 2 5" xfId="338"/>
    <cellStyle name="Финансовый 2 6" xfId="339"/>
    <cellStyle name="Финансовый 2 7" xfId="340"/>
    <cellStyle name="Финансовый 2 8" xfId="341"/>
    <cellStyle name="Финансовый 2 9" xfId="342"/>
    <cellStyle name="Финансовый 3" xfId="343"/>
    <cellStyle name="Финансовый 3 2" xfId="344"/>
    <cellStyle name="Финансовый 4" xfId="345"/>
    <cellStyle name="Финансовый 4 2" xfId="346"/>
    <cellStyle name="Финансовый 4 3" xfId="347"/>
    <cellStyle name="Финансовый 5" xfId="348"/>
    <cellStyle name="Финансовый 6" xfId="349"/>
    <cellStyle name="Финансовый 7" xfId="350"/>
    <cellStyle name="Хороший 2" xfId="351"/>
    <cellStyle name="Хороший 3" xfId="352"/>
    <cellStyle name="числовой" xfId="353"/>
    <cellStyle name="Ю" xfId="354"/>
    <cellStyle name="Ю-FreeSet_10" xfId="3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7;&#1074;&#1110;&#1090;%20&#1087;&#1088;&#1086;%20&#1074;&#1080;&#1082;.%20&#1092;&#1110;&#1085;.&#1087;&#1083;&#1072;&#1085;&#1091;%20&#1079;&#1072;%20%202018&#1088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Звіт по фінплану - зведені"/>
      <sheetName val="1.Фінансовий результат"/>
      <sheetName val="2. Розрахунки з бюджетом"/>
      <sheetName val="3. Рух грошових коштів"/>
      <sheetName val="4. Кап. інвестиції"/>
      <sheetName val="5. Інша інформація"/>
      <sheetName val=" 6. Коефіцієнти"/>
    </sheetNames>
    <sheetDataSet>
      <sheetData sheetId="0" refreshError="1"/>
      <sheetData sheetId="1" refreshError="1">
        <row r="14">
          <cell r="B14">
            <v>1040</v>
          </cell>
        </row>
        <row r="15">
          <cell r="B15">
            <v>1050</v>
          </cell>
        </row>
        <row r="30">
          <cell r="B30">
            <v>1060</v>
          </cell>
        </row>
        <row r="31">
          <cell r="B31">
            <v>1070</v>
          </cell>
        </row>
        <row r="32">
          <cell r="B32">
            <v>1080</v>
          </cell>
        </row>
        <row r="62">
          <cell r="B62">
            <v>1110</v>
          </cell>
        </row>
        <row r="79">
          <cell r="B79">
            <v>1120</v>
          </cell>
        </row>
        <row r="87">
          <cell r="B87">
            <v>1130</v>
          </cell>
        </row>
        <row r="88">
          <cell r="B88">
            <v>1140</v>
          </cell>
        </row>
        <row r="89">
          <cell r="B89">
            <v>1150</v>
          </cell>
        </row>
        <row r="90">
          <cell r="B90">
            <v>1160</v>
          </cell>
        </row>
        <row r="91">
          <cell r="B91">
            <v>1170</v>
          </cell>
        </row>
        <row r="92">
          <cell r="B92">
            <v>1200</v>
          </cell>
        </row>
        <row r="93">
          <cell r="B93">
            <v>1210</v>
          </cell>
        </row>
        <row r="95">
          <cell r="B95">
            <v>1230</v>
          </cell>
        </row>
      </sheetData>
      <sheetData sheetId="2" refreshError="1">
        <row r="19">
          <cell r="B19">
            <v>2100</v>
          </cell>
        </row>
        <row r="20">
          <cell r="B20">
            <v>2110</v>
          </cell>
        </row>
        <row r="21">
          <cell r="B21">
            <v>2120</v>
          </cell>
        </row>
        <row r="22">
          <cell r="B22">
            <v>2130</v>
          </cell>
        </row>
        <row r="23">
          <cell r="B23">
            <v>2140</v>
          </cell>
        </row>
        <row r="38">
          <cell r="B38">
            <v>2150</v>
          </cell>
        </row>
        <row r="39">
          <cell r="B39">
            <v>2200</v>
          </cell>
        </row>
      </sheetData>
      <sheetData sheetId="3" refreshError="1">
        <row r="27">
          <cell r="B27">
            <v>3090</v>
          </cell>
        </row>
        <row r="44">
          <cell r="B44">
            <v>3320</v>
          </cell>
        </row>
        <row r="70">
          <cell r="B70">
            <v>3580</v>
          </cell>
        </row>
        <row r="72">
          <cell r="B72">
            <v>3600</v>
          </cell>
        </row>
        <row r="73">
          <cell r="B73">
            <v>3610</v>
          </cell>
        </row>
        <row r="74">
          <cell r="B74">
            <v>3620</v>
          </cell>
          <cell r="E74">
            <v>365.1</v>
          </cell>
          <cell r="F74">
            <v>540.4101326899879</v>
          </cell>
        </row>
      </sheetData>
      <sheetData sheetId="4" refreshError="1">
        <row r="7">
          <cell r="B7">
            <v>4000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18"/>
  <sheetViews>
    <sheetView view="pageBreakPreview" topLeftCell="A33" zoomScale="60" workbookViewId="0">
      <selection activeCell="G40" sqref="G40"/>
    </sheetView>
  </sheetViews>
  <sheetFormatPr defaultRowHeight="18.75" outlineLevelRow="1"/>
  <cols>
    <col min="1" max="1" width="58.140625" style="239" customWidth="1"/>
    <col min="2" max="2" width="9.140625" style="21"/>
    <col min="3" max="4" width="10.28515625" style="239" customWidth="1"/>
    <col min="5" max="5" width="11.7109375" style="239" customWidth="1"/>
    <col min="6" max="6" width="11" style="239" customWidth="1"/>
  </cols>
  <sheetData>
    <row r="1" spans="1:6" hidden="1" outlineLevel="1">
      <c r="B1" s="239"/>
    </row>
    <row r="2" spans="1:6" hidden="1" outlineLevel="1">
      <c r="B2" s="239"/>
    </row>
    <row r="3" spans="1:6" ht="9.75" customHeight="1" collapsed="1">
      <c r="B3" s="239"/>
    </row>
    <row r="4" spans="1:6">
      <c r="A4" s="502" t="s">
        <v>434</v>
      </c>
      <c r="B4" s="502"/>
      <c r="C4" s="502"/>
      <c r="D4" s="502"/>
      <c r="E4" s="502"/>
      <c r="F4" s="502"/>
    </row>
    <row r="5" spans="1:6">
      <c r="A5" s="502" t="s">
        <v>529</v>
      </c>
      <c r="B5" s="502"/>
      <c r="C5" s="502"/>
      <c r="D5" s="502"/>
      <c r="E5" s="502"/>
      <c r="F5" s="502"/>
    </row>
    <row r="6" spans="1:6">
      <c r="A6" s="502" t="s">
        <v>435</v>
      </c>
      <c r="B6" s="502"/>
      <c r="C6" s="502"/>
      <c r="D6" s="502"/>
      <c r="E6" s="502"/>
      <c r="F6" s="502"/>
    </row>
    <row r="7" spans="1:6">
      <c r="A7" s="502" t="s">
        <v>531</v>
      </c>
      <c r="B7" s="502"/>
      <c r="C7" s="502"/>
      <c r="D7" s="502"/>
      <c r="E7" s="502"/>
      <c r="F7" s="502"/>
    </row>
    <row r="8" spans="1:6" ht="7.5" customHeight="1">
      <c r="A8" s="233"/>
      <c r="B8" s="233"/>
      <c r="C8" s="233"/>
      <c r="D8" s="233"/>
      <c r="E8" s="233"/>
      <c r="F8" s="233"/>
    </row>
    <row r="9" spans="1:6">
      <c r="A9" s="502" t="s">
        <v>156</v>
      </c>
      <c r="B9" s="502"/>
      <c r="C9" s="502"/>
      <c r="D9" s="502"/>
      <c r="E9" s="502"/>
      <c r="F9" s="502"/>
    </row>
    <row r="10" spans="1:6">
      <c r="B10" s="23"/>
      <c r="C10" s="23"/>
      <c r="D10" s="23"/>
      <c r="E10" s="23"/>
      <c r="F10" s="23"/>
    </row>
    <row r="11" spans="1:6">
      <c r="A11" s="497" t="s">
        <v>183</v>
      </c>
      <c r="B11" s="498" t="s">
        <v>5</v>
      </c>
      <c r="C11" s="500" t="s">
        <v>414</v>
      </c>
      <c r="D11" s="501"/>
      <c r="E11" s="501"/>
      <c r="F11" s="501"/>
    </row>
    <row r="12" spans="1:6" ht="37.5">
      <c r="A12" s="497"/>
      <c r="B12" s="499"/>
      <c r="C12" s="259" t="s">
        <v>412</v>
      </c>
      <c r="D12" s="259" t="s">
        <v>415</v>
      </c>
      <c r="E12" s="259" t="s">
        <v>416</v>
      </c>
      <c r="F12" s="259" t="s">
        <v>418</v>
      </c>
    </row>
    <row r="13" spans="1:6">
      <c r="A13" s="230">
        <v>1</v>
      </c>
      <c r="B13" s="232">
        <v>2</v>
      </c>
      <c r="C13" s="232">
        <v>3</v>
      </c>
      <c r="D13" s="232">
        <v>4</v>
      </c>
      <c r="E13" s="232">
        <v>5</v>
      </c>
      <c r="F13" s="232">
        <v>6</v>
      </c>
    </row>
    <row r="14" spans="1:6">
      <c r="A14" s="505" t="s">
        <v>76</v>
      </c>
      <c r="B14" s="505"/>
      <c r="C14" s="505"/>
      <c r="D14" s="505"/>
      <c r="E14" s="505"/>
      <c r="F14" s="505"/>
    </row>
    <row r="15" spans="1:6" ht="37.5">
      <c r="A15" s="306" t="s">
        <v>157</v>
      </c>
      <c r="B15" s="230">
        <f>'[36]1.Фінансовий результат'!B14</f>
        <v>1040</v>
      </c>
      <c r="C15" s="240">
        <f>'1.Фінансовий результат'!C13</f>
        <v>7495.3</v>
      </c>
      <c r="D15" s="240">
        <f>'1.Фінансовий результат'!D13</f>
        <v>8705.4000000000015</v>
      </c>
      <c r="E15" s="240">
        <f>D15-C15</f>
        <v>1210.1000000000013</v>
      </c>
      <c r="F15" s="240">
        <f>D15/C15*100</f>
        <v>116.14478406468054</v>
      </c>
    </row>
    <row r="16" spans="1:6" ht="37.5">
      <c r="A16" s="306" t="s">
        <v>129</v>
      </c>
      <c r="B16" s="230">
        <f>'[36]1.Фінансовий результат'!B15</f>
        <v>1050</v>
      </c>
      <c r="C16" s="240">
        <f>'1.Фінансовий результат'!C14</f>
        <v>6008.848</v>
      </c>
      <c r="D16" s="240">
        <f>'1.Фінансовий результат'!D14</f>
        <v>7060.3</v>
      </c>
      <c r="E16" s="240">
        <f>D16-C16</f>
        <v>1051.4520000000002</v>
      </c>
      <c r="F16" s="240">
        <f>D16/C16*100</f>
        <v>117.49839569914234</v>
      </c>
    </row>
    <row r="17" spans="1:6">
      <c r="A17" s="307" t="s">
        <v>198</v>
      </c>
      <c r="B17" s="308">
        <f>'[36]1.Фінансовий результат'!B30</f>
        <v>1060</v>
      </c>
      <c r="C17" s="82">
        <f>'1.Фінансовий результат'!C29</f>
        <v>1486.4520000000002</v>
      </c>
      <c r="D17" s="82">
        <f>'1.Фінансовий результат'!D29</f>
        <v>1645.1000000000013</v>
      </c>
      <c r="E17" s="82">
        <f t="shared" ref="E17:E21" si="0">D17-C17</f>
        <v>158.64800000000105</v>
      </c>
      <c r="F17" s="82">
        <f t="shared" ref="F17:F21" si="1">D17/C17*100</f>
        <v>110.67293124836868</v>
      </c>
    </row>
    <row r="18" spans="1:6">
      <c r="A18" s="306" t="s">
        <v>241</v>
      </c>
      <c r="B18" s="230">
        <f>'[36]1.Фінансовий результат'!B31</f>
        <v>1070</v>
      </c>
      <c r="C18" s="240">
        <f>'1.Фінансовий результат'!C30</f>
        <v>0</v>
      </c>
      <c r="D18" s="240">
        <f>'1.Фінансовий результат'!D30</f>
        <v>0</v>
      </c>
      <c r="E18" s="240">
        <f t="shared" si="0"/>
        <v>0</v>
      </c>
      <c r="F18" s="451" t="e">
        <f t="shared" si="1"/>
        <v>#DIV/0!</v>
      </c>
    </row>
    <row r="19" spans="1:6">
      <c r="A19" s="306" t="s">
        <v>108</v>
      </c>
      <c r="B19" s="230">
        <f>'[36]1.Фінансовий результат'!B32</f>
        <v>1080</v>
      </c>
      <c r="C19" s="240">
        <f>'1.Фінансовий результат'!C31</f>
        <v>968.40800000000002</v>
      </c>
      <c r="D19" s="240">
        <f>'1.Фінансовий результат'!D31</f>
        <v>1183.3</v>
      </c>
      <c r="E19" s="240">
        <f t="shared" si="0"/>
        <v>214.89199999999994</v>
      </c>
      <c r="F19" s="240">
        <f t="shared" si="1"/>
        <v>122.19023386836952</v>
      </c>
    </row>
    <row r="20" spans="1:6">
      <c r="A20" s="306" t="s">
        <v>105</v>
      </c>
      <c r="B20" s="230">
        <f>'[36]1.Фінансовий результат'!B62</f>
        <v>1110</v>
      </c>
      <c r="C20" s="240">
        <f>'1.Фінансовий результат'!C62</f>
        <v>437.40800000000002</v>
      </c>
      <c r="D20" s="240">
        <f>'1.Фінансовий результат'!D62</f>
        <v>404.09999999999997</v>
      </c>
      <c r="E20" s="240">
        <f t="shared" si="0"/>
        <v>-33.30800000000005</v>
      </c>
      <c r="F20" s="240">
        <f t="shared" si="1"/>
        <v>92.38514156119686</v>
      </c>
    </row>
    <row r="21" spans="1:6">
      <c r="A21" s="306" t="s">
        <v>12</v>
      </c>
      <c r="B21" s="230">
        <f>'[36]1.Фінансовий результат'!B79</f>
        <v>1120</v>
      </c>
      <c r="C21" s="240">
        <f>'1.Фінансовий результат'!C79</f>
        <v>60.6</v>
      </c>
      <c r="D21" s="240">
        <f>'1.Фінансовий результат'!D79</f>
        <v>32.700000000000003</v>
      </c>
      <c r="E21" s="240">
        <f t="shared" si="0"/>
        <v>-27.9</v>
      </c>
      <c r="F21" s="240">
        <f t="shared" si="1"/>
        <v>53.960396039603964</v>
      </c>
    </row>
    <row r="22" spans="1:6" ht="37.5">
      <c r="A22" s="208" t="s">
        <v>244</v>
      </c>
      <c r="B22" s="309">
        <f>'[36]1.Фінансовий результат'!B87</f>
        <v>1130</v>
      </c>
      <c r="C22" s="206">
        <f>'1.Фінансовий результат'!C88</f>
        <v>20.036000000000193</v>
      </c>
      <c r="D22" s="206">
        <f>'1.Фінансовий результат'!D88</f>
        <v>25.00000000000135</v>
      </c>
      <c r="E22" s="206">
        <f t="shared" ref="E22:E29" si="2">D22-C22</f>
        <v>4.9640000000011568</v>
      </c>
      <c r="F22" s="206">
        <f t="shared" ref="F22:F29" si="3">D22/C22*100</f>
        <v>124.77540427231537</v>
      </c>
    </row>
    <row r="23" spans="1:6">
      <c r="A23" s="310" t="s">
        <v>252</v>
      </c>
      <c r="B23" s="230">
        <f>'[36]1.Фінансовий результат'!B88</f>
        <v>1140</v>
      </c>
      <c r="C23" s="240">
        <f>'1.Фінансовий результат'!C89</f>
        <v>0</v>
      </c>
      <c r="D23" s="240">
        <f>'1.Фінансовий результат'!D89</f>
        <v>0</v>
      </c>
      <c r="E23" s="240">
        <f t="shared" si="2"/>
        <v>0</v>
      </c>
      <c r="F23" s="451" t="e">
        <f t="shared" si="3"/>
        <v>#DIV/0!</v>
      </c>
    </row>
    <row r="24" spans="1:6">
      <c r="A24" s="310" t="s">
        <v>436</v>
      </c>
      <c r="B24" s="230">
        <f>'[36]1.Фінансовий результат'!B89</f>
        <v>1150</v>
      </c>
      <c r="C24" s="240">
        <f>'1.Фінансовий результат'!C90</f>
        <v>0</v>
      </c>
      <c r="D24" s="240">
        <f>'1.Фінансовий результат'!D90</f>
        <v>0</v>
      </c>
      <c r="E24" s="240">
        <f t="shared" si="2"/>
        <v>0</v>
      </c>
      <c r="F24" s="451" t="e">
        <f t="shared" si="3"/>
        <v>#DIV/0!</v>
      </c>
    </row>
    <row r="25" spans="1:6">
      <c r="A25" s="306" t="s">
        <v>242</v>
      </c>
      <c r="B25" s="230">
        <f>'[36]1.Фінансовий результат'!B90</f>
        <v>1160</v>
      </c>
      <c r="C25" s="240">
        <f>'1.Фінансовий результат'!C91</f>
        <v>0</v>
      </c>
      <c r="D25" s="240">
        <f>'1.Фінансовий результат'!D91</f>
        <v>0</v>
      </c>
      <c r="E25" s="240">
        <f t="shared" si="2"/>
        <v>0</v>
      </c>
      <c r="F25" s="451" t="e">
        <f t="shared" si="3"/>
        <v>#DIV/0!</v>
      </c>
    </row>
    <row r="26" spans="1:6">
      <c r="A26" s="306" t="s">
        <v>243</v>
      </c>
      <c r="B26" s="230">
        <f>'[36]1.Фінансовий результат'!B91</f>
        <v>1170</v>
      </c>
      <c r="C26" s="240">
        <f>'1.Фінансовий результат'!C92</f>
        <v>0</v>
      </c>
      <c r="D26" s="240">
        <f>'1.Фінансовий результат'!D92</f>
        <v>0</v>
      </c>
      <c r="E26" s="240">
        <f t="shared" si="2"/>
        <v>0</v>
      </c>
      <c r="F26" s="451" t="e">
        <f t="shared" si="3"/>
        <v>#DIV/0!</v>
      </c>
    </row>
    <row r="27" spans="1:6" ht="37.5">
      <c r="A27" s="209" t="s">
        <v>246</v>
      </c>
      <c r="B27" s="308">
        <f>'[36]1.Фінансовий результат'!B92</f>
        <v>1200</v>
      </c>
      <c r="C27" s="82">
        <f>'1.Фінансовий результат'!C93</f>
        <v>20.036000000000193</v>
      </c>
      <c r="D27" s="82">
        <f>'1.Фінансовий результат'!D93</f>
        <v>25.00000000000135</v>
      </c>
      <c r="E27" s="82">
        <f t="shared" si="2"/>
        <v>4.9640000000011568</v>
      </c>
      <c r="F27" s="82">
        <f t="shared" si="3"/>
        <v>124.77540427231537</v>
      </c>
    </row>
    <row r="28" spans="1:6">
      <c r="A28" s="311" t="s">
        <v>106</v>
      </c>
      <c r="B28" s="230">
        <f>'[36]1.Фінансовий результат'!B93</f>
        <v>1210</v>
      </c>
      <c r="C28" s="240">
        <f>'1.Фінансовий результат'!C94</f>
        <v>3.6064800000000345</v>
      </c>
      <c r="D28" s="240">
        <f>'1.Фінансовий результат'!D94</f>
        <v>5</v>
      </c>
      <c r="E28" s="240">
        <f t="shared" si="2"/>
        <v>1.3935199999999655</v>
      </c>
      <c r="F28" s="240">
        <f t="shared" si="3"/>
        <v>138.63933808034295</v>
      </c>
    </row>
    <row r="29" spans="1:6" ht="37.5">
      <c r="A29" s="208" t="s">
        <v>247</v>
      </c>
      <c r="B29" s="309">
        <f>'[36]1.Фінансовий результат'!B95</f>
        <v>1230</v>
      </c>
      <c r="C29" s="206">
        <f>'1.Фінансовий результат'!C96</f>
        <v>16.42952000000016</v>
      </c>
      <c r="D29" s="206">
        <f>'1.Фінансовий результат'!D96</f>
        <v>20.00000000000135</v>
      </c>
      <c r="E29" s="206">
        <f t="shared" si="2"/>
        <v>3.57048000000119</v>
      </c>
      <c r="F29" s="206">
        <f t="shared" si="3"/>
        <v>121.73210172908982</v>
      </c>
    </row>
    <row r="30" spans="1:6">
      <c r="A30" s="506" t="s">
        <v>116</v>
      </c>
      <c r="B30" s="506"/>
      <c r="C30" s="506"/>
      <c r="D30" s="506"/>
      <c r="E30" s="506"/>
      <c r="F30" s="506"/>
    </row>
    <row r="31" spans="1:6" ht="37.5">
      <c r="A31" s="312" t="s">
        <v>184</v>
      </c>
      <c r="B31" s="230">
        <f>'[36]2. Розрахунки з бюджетом'!B19</f>
        <v>2100</v>
      </c>
      <c r="C31" s="240">
        <f>'2.Розрахунки з бюджетом'!C18</f>
        <v>2.532213999999998</v>
      </c>
      <c r="D31" s="240">
        <f>'2.Розрахунки з бюджетом'!D18</f>
        <v>3.1</v>
      </c>
      <c r="E31" s="240">
        <f t="shared" ref="E31:E37" si="4">D31-C31</f>
        <v>0.56778600000000212</v>
      </c>
      <c r="F31" s="240">
        <f t="shared" ref="F31:F37" si="5">D31/C31*100</f>
        <v>122.42251247327447</v>
      </c>
    </row>
    <row r="32" spans="1:6">
      <c r="A32" s="33" t="s">
        <v>115</v>
      </c>
      <c r="B32" s="230">
        <f>'[36]2. Розрахунки з бюджетом'!B20</f>
        <v>2110</v>
      </c>
      <c r="C32" s="240">
        <f>'2.Розрахунки з бюджетом'!C19</f>
        <v>3.6064800000000345</v>
      </c>
      <c r="D32" s="240">
        <f>'2.Розрахунки з бюджетом'!D19</f>
        <v>5</v>
      </c>
      <c r="E32" s="240">
        <f t="shared" si="4"/>
        <v>1.3935199999999655</v>
      </c>
      <c r="F32" s="240">
        <f t="shared" si="5"/>
        <v>138.63933808034295</v>
      </c>
    </row>
    <row r="33" spans="1:6" ht="56.25">
      <c r="A33" s="33" t="s">
        <v>220</v>
      </c>
      <c r="B33" s="230">
        <f>'[36]2. Розрахунки з бюджетом'!B21</f>
        <v>2120</v>
      </c>
      <c r="C33" s="240">
        <f>'2.Розрахунки з бюджетом'!C20</f>
        <v>49.349999999999994</v>
      </c>
      <c r="D33" s="432">
        <f>'2.Розрахунки з бюджетом'!D20</f>
        <v>48</v>
      </c>
      <c r="E33" s="240">
        <f t="shared" si="4"/>
        <v>-1.3499999999999943</v>
      </c>
      <c r="F33" s="240">
        <f t="shared" si="5"/>
        <v>97.264437689969611</v>
      </c>
    </row>
    <row r="34" spans="1:6" ht="56.25">
      <c r="A34" s="33" t="s">
        <v>221</v>
      </c>
      <c r="B34" s="230">
        <f>'[36]2. Розрахунки з бюджетом'!B22</f>
        <v>2130</v>
      </c>
      <c r="C34" s="240">
        <f>'2.Розрахунки з бюджетом'!C21</f>
        <v>0</v>
      </c>
      <c r="D34" s="240">
        <f>'2.Розрахунки з бюджетом'!D21</f>
        <v>0</v>
      </c>
      <c r="E34" s="240">
        <f t="shared" si="4"/>
        <v>0</v>
      </c>
      <c r="F34" s="451" t="e">
        <f t="shared" si="5"/>
        <v>#DIV/0!</v>
      </c>
    </row>
    <row r="35" spans="1:6" ht="41.25" customHeight="1">
      <c r="A35" s="312" t="s">
        <v>176</v>
      </c>
      <c r="B35" s="230">
        <f>'[36]2. Розрахунки з бюджетом'!B23</f>
        <v>2140</v>
      </c>
      <c r="C35" s="240">
        <f>'2.Розрахунки з бюджетом'!C22</f>
        <v>768.12900000000002</v>
      </c>
      <c r="D35" s="240">
        <f>'2.Розрахунки з бюджетом'!D22</f>
        <v>939.8</v>
      </c>
      <c r="E35" s="240">
        <f t="shared" si="4"/>
        <v>171.67099999999994</v>
      </c>
      <c r="F35" s="240">
        <f t="shared" si="5"/>
        <v>122.34924081762306</v>
      </c>
    </row>
    <row r="36" spans="1:6" ht="37.5">
      <c r="A36" s="312" t="s">
        <v>63</v>
      </c>
      <c r="B36" s="230">
        <f>'[36]2. Розрахунки з бюджетом'!B38</f>
        <v>2150</v>
      </c>
      <c r="C36" s="240">
        <f>'2.Розрахунки з бюджетом'!C37</f>
        <v>796.76400000000001</v>
      </c>
      <c r="D36" s="240">
        <f>'2.Розрахунки з бюджетом'!D37</f>
        <v>933.99999999999989</v>
      </c>
      <c r="E36" s="240">
        <f t="shared" si="4"/>
        <v>137.23599999999988</v>
      </c>
      <c r="F36" s="240">
        <f t="shared" si="5"/>
        <v>117.22417177482917</v>
      </c>
    </row>
    <row r="37" spans="1:6">
      <c r="A37" s="210" t="s">
        <v>185</v>
      </c>
      <c r="B37" s="230">
        <f>'[36]2. Розрахунки з бюджетом'!B39</f>
        <v>2200</v>
      </c>
      <c r="C37" s="82">
        <f>'2.Розрахунки з бюджетом'!C38</f>
        <v>1620.3816940000002</v>
      </c>
      <c r="D37" s="82">
        <f>'2.Розрахунки з бюджетом'!D38</f>
        <v>1929.8999999999996</v>
      </c>
      <c r="E37" s="82">
        <f t="shared" si="4"/>
        <v>309.51830599999948</v>
      </c>
      <c r="F37" s="82">
        <f t="shared" si="5"/>
        <v>119.10156768285482</v>
      </c>
    </row>
    <row r="38" spans="1:6">
      <c r="A38" s="506" t="s">
        <v>114</v>
      </c>
      <c r="B38" s="506"/>
      <c r="C38" s="506"/>
      <c r="D38" s="506"/>
      <c r="E38" s="506"/>
      <c r="F38" s="506"/>
    </row>
    <row r="39" spans="1:6">
      <c r="A39" s="210" t="s">
        <v>109</v>
      </c>
      <c r="B39" s="308">
        <f>'[36]3. Рух грошових коштів'!B72</f>
        <v>3600</v>
      </c>
      <c r="C39" s="82">
        <f>'3.Рух грошових коштів'!C75</f>
        <v>68.2</v>
      </c>
      <c r="D39" s="82">
        <f>'3.Рух грошових коштів'!D75</f>
        <v>448</v>
      </c>
      <c r="E39" s="82">
        <f t="shared" ref="E39:E43" si="6">D39-C39</f>
        <v>379.8</v>
      </c>
      <c r="F39" s="82">
        <f t="shared" ref="F39:F43" si="7">D39/C39*100</f>
        <v>656.89149560117301</v>
      </c>
    </row>
    <row r="40" spans="1:6" ht="37.5">
      <c r="A40" s="312" t="s">
        <v>110</v>
      </c>
      <c r="B40" s="230">
        <f>'[36]3. Рух грошових коштів'!B27</f>
        <v>3090</v>
      </c>
      <c r="C40" s="424">
        <f>'3.Рух грошових коштів'!C28</f>
        <v>16.429519999999115</v>
      </c>
      <c r="D40" s="240">
        <f>'3.Рух грошових коштів'!D28</f>
        <v>20.300000000001091</v>
      </c>
      <c r="E40" s="240">
        <f t="shared" si="6"/>
        <v>3.8704800000019759</v>
      </c>
      <c r="F40" s="240">
        <f t="shared" si="7"/>
        <v>123.5580832550323</v>
      </c>
    </row>
    <row r="41" spans="1:6" ht="37.5">
      <c r="A41" s="312" t="s">
        <v>170</v>
      </c>
      <c r="B41" s="230">
        <f>'[36]3. Рух грошових коштів'!B44</f>
        <v>3320</v>
      </c>
      <c r="C41" s="424">
        <f>'3.Рух грошових коштів'!C45</f>
        <v>0</v>
      </c>
      <c r="D41" s="240">
        <f>'3.Рух грошових коштів'!D45</f>
        <v>0</v>
      </c>
      <c r="E41" s="240">
        <f t="shared" si="6"/>
        <v>0</v>
      </c>
      <c r="F41" s="451" t="e">
        <f t="shared" si="7"/>
        <v>#DIV/0!</v>
      </c>
    </row>
    <row r="42" spans="1:6" ht="37.5">
      <c r="A42" s="312" t="s">
        <v>111</v>
      </c>
      <c r="B42" s="230">
        <f>'[36]3. Рух грошових коштів'!B70</f>
        <v>3580</v>
      </c>
      <c r="C42" s="424">
        <f>'3.Рух грошових коштів'!C73</f>
        <v>0</v>
      </c>
      <c r="D42" s="240">
        <f>'3.Рух грошових коштів'!D73</f>
        <v>5.7</v>
      </c>
      <c r="E42" s="240">
        <f t="shared" si="6"/>
        <v>5.7</v>
      </c>
      <c r="F42" s="451" t="e">
        <f t="shared" si="7"/>
        <v>#DIV/0!</v>
      </c>
    </row>
    <row r="43" spans="1:6" ht="24.75" customHeight="1">
      <c r="A43" s="312" t="s">
        <v>127</v>
      </c>
      <c r="B43" s="230">
        <f>'[36]3. Рух грошових коштів'!B73</f>
        <v>3610</v>
      </c>
      <c r="C43" s="424">
        <f>'3.Рух грошових коштів'!C76</f>
        <v>0</v>
      </c>
      <c r="D43" s="240">
        <f>'3.Рух грошових коштів'!D76</f>
        <v>0</v>
      </c>
      <c r="E43" s="240">
        <f t="shared" si="6"/>
        <v>0</v>
      </c>
      <c r="F43" s="451" t="e">
        <f t="shared" si="7"/>
        <v>#DIV/0!</v>
      </c>
    </row>
    <row r="44" spans="1:6">
      <c r="A44" s="210" t="s">
        <v>112</v>
      </c>
      <c r="B44" s="308">
        <f>'[36]3. Рух грошових коштів'!B74</f>
        <v>3620</v>
      </c>
      <c r="C44" s="82">
        <f>'3.Рух грошових коштів'!C77</f>
        <v>76.414759999999987</v>
      </c>
      <c r="D44" s="82">
        <f>'3.Рух грошових коштів'!D77</f>
        <v>403</v>
      </c>
      <c r="E44" s="82">
        <f>'[36]3. Рух грошових коштів'!E74</f>
        <v>365.1</v>
      </c>
      <c r="F44" s="82">
        <f>'[36]3. Рух грошових коштів'!F74</f>
        <v>540.4101326899879</v>
      </c>
    </row>
    <row r="45" spans="1:6">
      <c r="A45" s="507" t="s">
        <v>160</v>
      </c>
      <c r="B45" s="508"/>
      <c r="C45" s="508"/>
      <c r="D45" s="508"/>
      <c r="E45" s="508"/>
      <c r="F45" s="508"/>
    </row>
    <row r="46" spans="1:6">
      <c r="A46" s="210" t="s">
        <v>159</v>
      </c>
      <c r="B46" s="230">
        <f>'[36]4. Кап. інвестиції'!B7</f>
        <v>4000</v>
      </c>
      <c r="C46" s="82">
        <f>'4.Кап. інвестиції'!C7</f>
        <v>3760</v>
      </c>
      <c r="D46" s="82">
        <f>'4.Кап. інвестиції'!D7</f>
        <v>4218.8999999999996</v>
      </c>
      <c r="E46" s="82">
        <f t="shared" ref="E46" si="8">D46-C46</f>
        <v>458.89999999999964</v>
      </c>
      <c r="F46" s="82">
        <f t="shared" ref="F46" si="9">D46/C46*100</f>
        <v>112.20478723404254</v>
      </c>
    </row>
    <row r="47" spans="1:6">
      <c r="A47" s="509"/>
      <c r="B47" s="509"/>
      <c r="C47" s="509"/>
      <c r="D47" s="509"/>
      <c r="E47" s="509"/>
      <c r="F47" s="509"/>
    </row>
    <row r="48" spans="1:6">
      <c r="A48" s="313" t="s">
        <v>438</v>
      </c>
      <c r="B48" s="510" t="s">
        <v>327</v>
      </c>
      <c r="C48" s="510"/>
      <c r="D48" s="314"/>
      <c r="E48" s="511" t="s">
        <v>433</v>
      </c>
      <c r="F48" s="511"/>
    </row>
    <row r="49" spans="1:6" s="264" customFormat="1" ht="12.75">
      <c r="A49" s="271" t="s">
        <v>437</v>
      </c>
      <c r="B49" s="503" t="s">
        <v>59</v>
      </c>
      <c r="C49" s="503"/>
      <c r="D49" s="273"/>
      <c r="E49" s="504" t="s">
        <v>432</v>
      </c>
      <c r="F49" s="504"/>
    </row>
    <row r="51" spans="1:6">
      <c r="A51" s="37"/>
    </row>
    <row r="52" spans="1:6">
      <c r="A52" s="37"/>
    </row>
    <row r="53" spans="1:6">
      <c r="A53" s="37"/>
    </row>
    <row r="54" spans="1:6">
      <c r="A54" s="37"/>
    </row>
    <row r="55" spans="1:6">
      <c r="A55" s="37"/>
    </row>
    <row r="56" spans="1:6">
      <c r="A56" s="37"/>
    </row>
    <row r="57" spans="1:6">
      <c r="A57" s="37"/>
    </row>
    <row r="58" spans="1:6">
      <c r="A58" s="37"/>
    </row>
    <row r="59" spans="1:6">
      <c r="A59" s="37"/>
    </row>
    <row r="60" spans="1:6">
      <c r="A60" s="37"/>
    </row>
    <row r="61" spans="1:6">
      <c r="A61" s="37"/>
    </row>
    <row r="62" spans="1:6">
      <c r="A62" s="37"/>
    </row>
    <row r="63" spans="1:6">
      <c r="A63" s="37"/>
    </row>
    <row r="64" spans="1:6">
      <c r="A64" s="37"/>
    </row>
    <row r="65" spans="1:1">
      <c r="A65" s="37"/>
    </row>
    <row r="66" spans="1:1">
      <c r="A66" s="37"/>
    </row>
    <row r="67" spans="1:1">
      <c r="A67" s="37"/>
    </row>
    <row r="68" spans="1:1">
      <c r="A68" s="37"/>
    </row>
    <row r="69" spans="1:1">
      <c r="A69" s="37"/>
    </row>
    <row r="70" spans="1:1">
      <c r="A70" s="37"/>
    </row>
    <row r="71" spans="1:1">
      <c r="A71" s="37"/>
    </row>
    <row r="72" spans="1:1">
      <c r="A72" s="37"/>
    </row>
    <row r="73" spans="1:1">
      <c r="A73" s="37"/>
    </row>
    <row r="74" spans="1:1">
      <c r="A74" s="37"/>
    </row>
    <row r="75" spans="1:1">
      <c r="A75" s="37"/>
    </row>
    <row r="76" spans="1:1">
      <c r="A76" s="37"/>
    </row>
    <row r="77" spans="1:1">
      <c r="A77" s="37"/>
    </row>
    <row r="78" spans="1:1">
      <c r="A78" s="37"/>
    </row>
    <row r="79" spans="1:1">
      <c r="A79" s="37"/>
    </row>
    <row r="80" spans="1:1">
      <c r="A80" s="37"/>
    </row>
    <row r="81" spans="1:1">
      <c r="A81" s="37"/>
    </row>
    <row r="82" spans="1:1">
      <c r="A82" s="37"/>
    </row>
    <row r="83" spans="1:1">
      <c r="A83" s="37"/>
    </row>
    <row r="84" spans="1:1">
      <c r="A84" s="37"/>
    </row>
    <row r="85" spans="1:1">
      <c r="A85" s="37"/>
    </row>
    <row r="86" spans="1:1">
      <c r="A86" s="37"/>
    </row>
    <row r="87" spans="1:1">
      <c r="A87" s="37"/>
    </row>
    <row r="88" spans="1:1">
      <c r="A88" s="37"/>
    </row>
    <row r="89" spans="1:1">
      <c r="A89" s="37"/>
    </row>
    <row r="90" spans="1:1">
      <c r="A90" s="37"/>
    </row>
    <row r="91" spans="1:1">
      <c r="A91" s="37"/>
    </row>
    <row r="92" spans="1:1">
      <c r="A92" s="37"/>
    </row>
    <row r="93" spans="1:1">
      <c r="A93" s="37"/>
    </row>
    <row r="94" spans="1:1">
      <c r="A94" s="37"/>
    </row>
    <row r="95" spans="1:1">
      <c r="A95" s="37"/>
    </row>
    <row r="96" spans="1:1">
      <c r="A96" s="37"/>
    </row>
    <row r="97" spans="1:1">
      <c r="A97" s="37"/>
    </row>
    <row r="98" spans="1:1">
      <c r="A98" s="37"/>
    </row>
    <row r="99" spans="1:1">
      <c r="A99" s="37"/>
    </row>
    <row r="100" spans="1:1">
      <c r="A100" s="37"/>
    </row>
    <row r="101" spans="1:1">
      <c r="A101" s="37"/>
    </row>
    <row r="102" spans="1:1">
      <c r="A102" s="37"/>
    </row>
    <row r="103" spans="1:1">
      <c r="A103" s="37"/>
    </row>
    <row r="104" spans="1:1">
      <c r="A104" s="37"/>
    </row>
    <row r="105" spans="1:1">
      <c r="A105" s="37"/>
    </row>
    <row r="106" spans="1:1">
      <c r="A106" s="37"/>
    </row>
    <row r="107" spans="1:1">
      <c r="A107" s="37"/>
    </row>
    <row r="108" spans="1:1">
      <c r="A108" s="37"/>
    </row>
    <row r="109" spans="1:1">
      <c r="A109" s="37"/>
    </row>
    <row r="110" spans="1:1">
      <c r="A110" s="37"/>
    </row>
    <row r="111" spans="1:1">
      <c r="A111" s="37"/>
    </row>
    <row r="112" spans="1:1">
      <c r="A112" s="37"/>
    </row>
    <row r="113" spans="1:1">
      <c r="A113" s="37"/>
    </row>
    <row r="114" spans="1:1">
      <c r="A114" s="37"/>
    </row>
    <row r="115" spans="1:1">
      <c r="A115" s="37"/>
    </row>
    <row r="116" spans="1:1">
      <c r="A116" s="37"/>
    </row>
    <row r="117" spans="1:1">
      <c r="A117" s="37"/>
    </row>
    <row r="118" spans="1:1">
      <c r="A118" s="37"/>
    </row>
    <row r="119" spans="1:1">
      <c r="A119" s="37"/>
    </row>
    <row r="120" spans="1:1">
      <c r="A120" s="37"/>
    </row>
    <row r="121" spans="1:1">
      <c r="A121" s="37"/>
    </row>
    <row r="122" spans="1:1">
      <c r="A122" s="37"/>
    </row>
    <row r="123" spans="1:1">
      <c r="A123" s="37"/>
    </row>
    <row r="124" spans="1:1">
      <c r="A124" s="37"/>
    </row>
    <row r="125" spans="1:1">
      <c r="A125" s="37"/>
    </row>
    <row r="126" spans="1:1">
      <c r="A126" s="37"/>
    </row>
    <row r="127" spans="1:1">
      <c r="A127" s="37"/>
    </row>
    <row r="128" spans="1:1">
      <c r="A128" s="37"/>
    </row>
    <row r="129" spans="1:1">
      <c r="A129" s="37"/>
    </row>
    <row r="130" spans="1:1">
      <c r="A130" s="37"/>
    </row>
    <row r="131" spans="1:1">
      <c r="A131" s="37"/>
    </row>
    <row r="132" spans="1:1">
      <c r="A132" s="37"/>
    </row>
    <row r="133" spans="1:1">
      <c r="A133" s="37"/>
    </row>
    <row r="134" spans="1:1">
      <c r="A134" s="37"/>
    </row>
    <row r="135" spans="1:1">
      <c r="A135" s="37"/>
    </row>
    <row r="136" spans="1:1">
      <c r="A136" s="37"/>
    </row>
    <row r="137" spans="1:1">
      <c r="A137" s="37"/>
    </row>
    <row r="138" spans="1:1">
      <c r="A138" s="37"/>
    </row>
    <row r="139" spans="1:1">
      <c r="A139" s="37"/>
    </row>
    <row r="140" spans="1:1">
      <c r="A140" s="37"/>
    </row>
    <row r="141" spans="1:1">
      <c r="A141" s="37"/>
    </row>
    <row r="142" spans="1:1">
      <c r="A142" s="37"/>
    </row>
    <row r="143" spans="1:1">
      <c r="A143" s="37"/>
    </row>
    <row r="144" spans="1:1">
      <c r="A144" s="37"/>
    </row>
    <row r="145" spans="1:1">
      <c r="A145" s="37"/>
    </row>
    <row r="146" spans="1:1">
      <c r="A146" s="37"/>
    </row>
    <row r="147" spans="1:1">
      <c r="A147" s="37"/>
    </row>
    <row r="148" spans="1:1">
      <c r="A148" s="37"/>
    </row>
    <row r="149" spans="1:1">
      <c r="A149" s="37"/>
    </row>
    <row r="150" spans="1:1">
      <c r="A150" s="37"/>
    </row>
    <row r="151" spans="1:1">
      <c r="A151" s="37"/>
    </row>
    <row r="152" spans="1:1">
      <c r="A152" s="37"/>
    </row>
    <row r="153" spans="1:1">
      <c r="A153" s="37"/>
    </row>
    <row r="154" spans="1:1">
      <c r="A154" s="37"/>
    </row>
    <row r="155" spans="1:1">
      <c r="A155" s="37"/>
    </row>
    <row r="156" spans="1:1">
      <c r="A156" s="37"/>
    </row>
    <row r="157" spans="1:1">
      <c r="A157" s="37"/>
    </row>
    <row r="158" spans="1:1">
      <c r="A158" s="37"/>
    </row>
    <row r="159" spans="1:1">
      <c r="A159" s="37"/>
    </row>
    <row r="160" spans="1:1">
      <c r="A160" s="37"/>
    </row>
    <row r="161" spans="1:1">
      <c r="A161" s="37"/>
    </row>
    <row r="162" spans="1:1">
      <c r="A162" s="37"/>
    </row>
    <row r="163" spans="1:1">
      <c r="A163" s="37"/>
    </row>
    <row r="164" spans="1:1">
      <c r="A164" s="37"/>
    </row>
    <row r="165" spans="1:1">
      <c r="A165" s="37"/>
    </row>
    <row r="166" spans="1:1">
      <c r="A166" s="37"/>
    </row>
    <row r="167" spans="1:1">
      <c r="A167" s="37"/>
    </row>
    <row r="168" spans="1:1">
      <c r="A168" s="37"/>
    </row>
    <row r="169" spans="1:1">
      <c r="A169" s="37"/>
    </row>
    <row r="170" spans="1:1">
      <c r="A170" s="37"/>
    </row>
    <row r="171" spans="1:1">
      <c r="A171" s="37"/>
    </row>
    <row r="172" spans="1:1">
      <c r="A172" s="37"/>
    </row>
    <row r="173" spans="1:1">
      <c r="A173" s="37"/>
    </row>
    <row r="174" spans="1:1">
      <c r="A174" s="37"/>
    </row>
    <row r="175" spans="1:1">
      <c r="A175" s="37"/>
    </row>
    <row r="176" spans="1:1">
      <c r="A176" s="37"/>
    </row>
    <row r="177" spans="1:1">
      <c r="A177" s="37"/>
    </row>
    <row r="178" spans="1:1">
      <c r="A178" s="37"/>
    </row>
    <row r="179" spans="1:1">
      <c r="A179" s="37"/>
    </row>
    <row r="180" spans="1:1">
      <c r="A180" s="37"/>
    </row>
    <row r="181" spans="1:1">
      <c r="A181" s="37"/>
    </row>
    <row r="182" spans="1:1">
      <c r="A182" s="37"/>
    </row>
    <row r="183" spans="1:1">
      <c r="A183" s="37"/>
    </row>
    <row r="184" spans="1:1">
      <c r="A184" s="37"/>
    </row>
    <row r="185" spans="1:1">
      <c r="A185" s="37"/>
    </row>
    <row r="186" spans="1:1">
      <c r="A186" s="37"/>
    </row>
    <row r="187" spans="1:1">
      <c r="A187" s="37"/>
    </row>
    <row r="188" spans="1:1">
      <c r="A188" s="37"/>
    </row>
    <row r="189" spans="1:1">
      <c r="A189" s="37"/>
    </row>
    <row r="190" spans="1:1">
      <c r="A190" s="37"/>
    </row>
    <row r="191" spans="1:1">
      <c r="A191" s="37"/>
    </row>
    <row r="192" spans="1:1">
      <c r="A192" s="37"/>
    </row>
    <row r="193" spans="1:1">
      <c r="A193" s="37"/>
    </row>
    <row r="194" spans="1:1">
      <c r="A194" s="37"/>
    </row>
    <row r="195" spans="1:1">
      <c r="A195" s="37"/>
    </row>
    <row r="196" spans="1:1">
      <c r="A196" s="37"/>
    </row>
    <row r="197" spans="1:1">
      <c r="A197" s="37"/>
    </row>
    <row r="198" spans="1:1">
      <c r="A198" s="37"/>
    </row>
    <row r="199" spans="1:1">
      <c r="A199" s="37"/>
    </row>
    <row r="200" spans="1:1">
      <c r="A200" s="37"/>
    </row>
    <row r="201" spans="1:1">
      <c r="A201" s="37"/>
    </row>
    <row r="202" spans="1:1">
      <c r="A202" s="37"/>
    </row>
    <row r="203" spans="1:1">
      <c r="A203" s="37"/>
    </row>
    <row r="204" spans="1:1">
      <c r="A204" s="37"/>
    </row>
    <row r="205" spans="1:1">
      <c r="A205" s="37"/>
    </row>
    <row r="206" spans="1:1">
      <c r="A206" s="37"/>
    </row>
    <row r="207" spans="1:1">
      <c r="A207" s="37"/>
    </row>
    <row r="208" spans="1:1">
      <c r="A208" s="37"/>
    </row>
    <row r="209" spans="1:1">
      <c r="A209" s="37"/>
    </row>
    <row r="210" spans="1:1">
      <c r="A210" s="37"/>
    </row>
    <row r="211" spans="1:1">
      <c r="A211" s="37"/>
    </row>
    <row r="212" spans="1:1">
      <c r="A212" s="37"/>
    </row>
    <row r="213" spans="1:1">
      <c r="A213" s="37"/>
    </row>
    <row r="214" spans="1:1">
      <c r="A214" s="37"/>
    </row>
    <row r="215" spans="1:1">
      <c r="A215" s="37"/>
    </row>
    <row r="216" spans="1:1">
      <c r="A216" s="37"/>
    </row>
    <row r="217" spans="1:1">
      <c r="A217" s="37"/>
    </row>
    <row r="218" spans="1:1">
      <c r="A218" s="37"/>
    </row>
  </sheetData>
  <mergeCells count="17">
    <mergeCell ref="B49:C49"/>
    <mergeCell ref="E49:F49"/>
    <mergeCell ref="A14:F14"/>
    <mergeCell ref="A30:F30"/>
    <mergeCell ref="A38:F38"/>
    <mergeCell ref="A45:F45"/>
    <mergeCell ref="A47:F47"/>
    <mergeCell ref="B48:C48"/>
    <mergeCell ref="E48:F48"/>
    <mergeCell ref="A11:A12"/>
    <mergeCell ref="B11:B12"/>
    <mergeCell ref="C11:F11"/>
    <mergeCell ref="A4:F4"/>
    <mergeCell ref="A5:F5"/>
    <mergeCell ref="A6:F6"/>
    <mergeCell ref="A7:F7"/>
    <mergeCell ref="A9:F9"/>
  </mergeCells>
  <printOptions horizontalCentered="1"/>
  <pageMargins left="0.70866141732283472" right="0.70866141732283472" top="0.43307086614173229" bottom="0.43307086614173229" header="0.31496062992125984" footer="0.31496062992125984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3:Q189"/>
  <sheetViews>
    <sheetView topLeftCell="A10" zoomScale="57" zoomScaleNormal="57" zoomScaleSheetLayoutView="50" workbookViewId="0">
      <selection activeCell="G8" sqref="G8:H8"/>
    </sheetView>
  </sheetViews>
  <sheetFormatPr defaultRowHeight="18.75" outlineLevelCol="1"/>
  <cols>
    <col min="1" max="1" width="52.140625" style="3" customWidth="1"/>
    <col min="2" max="2" width="10.42578125" style="21" customWidth="1"/>
    <col min="3" max="3" width="11.42578125" style="21" hidden="1" customWidth="1" outlineLevel="1"/>
    <col min="4" max="5" width="13.7109375" style="21" hidden="1" customWidth="1" outlineLevel="1"/>
    <col min="6" max="6" width="13.7109375" style="3" customWidth="1" collapsed="1"/>
    <col min="7" max="7" width="12.7109375" style="3" customWidth="1"/>
    <col min="8" max="8" width="13" style="3" customWidth="1"/>
    <col min="9" max="9" width="11.7109375" style="3" customWidth="1"/>
    <col min="10" max="10" width="12.140625" style="3" customWidth="1"/>
    <col min="11" max="11" width="9.5703125" style="3" customWidth="1"/>
    <col min="12" max="12" width="9.85546875" style="3" customWidth="1"/>
    <col min="13" max="16384" width="9.140625" style="3"/>
  </cols>
  <sheetData>
    <row r="3" spans="1:17">
      <c r="A3" s="502" t="s">
        <v>161</v>
      </c>
      <c r="B3" s="502"/>
      <c r="C3" s="502"/>
      <c r="D3" s="502"/>
      <c r="E3" s="502"/>
      <c r="F3" s="502"/>
      <c r="G3" s="502"/>
      <c r="H3" s="502"/>
      <c r="I3" s="502"/>
      <c r="J3" s="502"/>
    </row>
    <row r="4" spans="1:17">
      <c r="A4" s="575"/>
      <c r="B4" s="575"/>
      <c r="C4" s="575"/>
      <c r="D4" s="575"/>
      <c r="E4" s="575"/>
      <c r="F4" s="575"/>
      <c r="G4" s="575"/>
      <c r="H4" s="575"/>
      <c r="I4" s="575"/>
      <c r="J4" s="575"/>
    </row>
    <row r="5" spans="1:17" ht="43.5" customHeight="1">
      <c r="A5" s="497" t="s">
        <v>183</v>
      </c>
      <c r="B5" s="554" t="s">
        <v>5</v>
      </c>
      <c r="C5" s="554" t="s">
        <v>386</v>
      </c>
      <c r="D5" s="554" t="s">
        <v>381</v>
      </c>
      <c r="E5" s="554" t="s">
        <v>379</v>
      </c>
      <c r="F5" s="554" t="s">
        <v>533</v>
      </c>
      <c r="G5" s="555" t="s">
        <v>267</v>
      </c>
      <c r="H5" s="555"/>
      <c r="I5" s="555"/>
      <c r="J5" s="555"/>
    </row>
    <row r="6" spans="1:17" ht="33" customHeight="1">
      <c r="A6" s="497"/>
      <c r="B6" s="554"/>
      <c r="C6" s="554"/>
      <c r="D6" s="554"/>
      <c r="E6" s="554"/>
      <c r="F6" s="554"/>
      <c r="G6" s="13" t="s">
        <v>141</v>
      </c>
      <c r="H6" s="13" t="s">
        <v>142</v>
      </c>
      <c r="I6" s="13" t="s">
        <v>143</v>
      </c>
      <c r="J6" s="13" t="s">
        <v>55</v>
      </c>
    </row>
    <row r="7" spans="1:17" ht="18" customHeight="1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7" s="5" customFormat="1" ht="42.75" customHeight="1">
      <c r="A8" s="75" t="s">
        <v>61</v>
      </c>
      <c r="B8" s="81">
        <v>4000</v>
      </c>
      <c r="C8" s="87">
        <f>C9+C10+C16+C17+C15</f>
        <v>495</v>
      </c>
      <c r="D8" s="87">
        <f>D10+D17+D9+D15</f>
        <v>0</v>
      </c>
      <c r="E8" s="87">
        <f>E10+E9</f>
        <v>0</v>
      </c>
      <c r="F8" s="87">
        <f>F10</f>
        <v>4705</v>
      </c>
      <c r="G8" s="167">
        <f>G9+G10</f>
        <v>2110</v>
      </c>
      <c r="H8" s="87">
        <f>H10</f>
        <v>1650</v>
      </c>
      <c r="I8" s="167">
        <f>I10</f>
        <v>945</v>
      </c>
      <c r="J8" s="167">
        <v>0</v>
      </c>
    </row>
    <row r="9" spans="1:17" ht="32.25" customHeight="1">
      <c r="A9" s="220" t="s">
        <v>322</v>
      </c>
      <c r="B9" s="53" t="s">
        <v>167</v>
      </c>
      <c r="C9" s="169">
        <v>0</v>
      </c>
      <c r="D9" s="169">
        <v>0</v>
      </c>
      <c r="E9" s="169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</row>
    <row r="10" spans="1:17" ht="37.5" customHeight="1">
      <c r="A10" s="248" t="s">
        <v>363</v>
      </c>
      <c r="B10" s="52">
        <v>4020</v>
      </c>
      <c r="C10" s="169">
        <v>0</v>
      </c>
      <c r="D10" s="169">
        <v>0</v>
      </c>
      <c r="E10" s="169">
        <f>E11+E12</f>
        <v>0</v>
      </c>
      <c r="F10" s="82">
        <f>F11+F12+F13+F14</f>
        <v>4705</v>
      </c>
      <c r="G10" s="82">
        <f>G11+G12</f>
        <v>2110</v>
      </c>
      <c r="H10" s="82">
        <f>H14</f>
        <v>1650</v>
      </c>
      <c r="I10" s="82">
        <f>I13</f>
        <v>945</v>
      </c>
      <c r="J10" s="82">
        <v>0</v>
      </c>
      <c r="Q10" s="18"/>
    </row>
    <row r="11" spans="1:17" ht="37.5" customHeight="1">
      <c r="A11" s="245" t="s">
        <v>374</v>
      </c>
      <c r="B11" s="53" t="s">
        <v>324</v>
      </c>
      <c r="C11" s="169"/>
      <c r="D11" s="169"/>
      <c r="E11" s="90">
        <v>0</v>
      </c>
      <c r="F11" s="10">
        <f>G11+H11+I11+J11</f>
        <v>1650</v>
      </c>
      <c r="G11" s="10">
        <v>1650</v>
      </c>
      <c r="H11" s="10">
        <v>0</v>
      </c>
      <c r="I11" s="10">
        <v>0</v>
      </c>
      <c r="J11" s="10">
        <v>0</v>
      </c>
      <c r="Q11" s="18"/>
    </row>
    <row r="12" spans="1:17" ht="36" customHeight="1">
      <c r="A12" s="245" t="s">
        <v>403</v>
      </c>
      <c r="B12" s="53" t="s">
        <v>371</v>
      </c>
      <c r="C12" s="90"/>
      <c r="D12" s="90"/>
      <c r="E12" s="90">
        <v>0</v>
      </c>
      <c r="F12" s="10">
        <f>G12+H12+I12+J12</f>
        <v>460</v>
      </c>
      <c r="G12" s="10">
        <v>460</v>
      </c>
      <c r="H12" s="10">
        <v>0</v>
      </c>
      <c r="I12" s="10">
        <v>0</v>
      </c>
      <c r="J12" s="10">
        <v>0</v>
      </c>
      <c r="Q12" s="18"/>
    </row>
    <row r="13" spans="1:17" ht="69" customHeight="1">
      <c r="A13" s="246" t="s">
        <v>405</v>
      </c>
      <c r="B13" s="53" t="s">
        <v>406</v>
      </c>
      <c r="C13" s="90"/>
      <c r="D13" s="90"/>
      <c r="E13" s="90">
        <v>0</v>
      </c>
      <c r="F13" s="10">
        <v>945</v>
      </c>
      <c r="G13" s="10">
        <v>0</v>
      </c>
      <c r="H13" s="10">
        <v>0</v>
      </c>
      <c r="I13" s="10">
        <v>945</v>
      </c>
      <c r="J13" s="10">
        <v>0</v>
      </c>
      <c r="Q13" s="18"/>
    </row>
    <row r="14" spans="1:17" ht="65.25" customHeight="1">
      <c r="A14" s="247" t="s">
        <v>409</v>
      </c>
      <c r="B14" s="53" t="s">
        <v>407</v>
      </c>
      <c r="C14" s="90"/>
      <c r="D14" s="90"/>
      <c r="E14" s="90">
        <v>0</v>
      </c>
      <c r="F14" s="10">
        <v>1650</v>
      </c>
      <c r="G14" s="10">
        <v>0</v>
      </c>
      <c r="H14" s="10">
        <v>1650</v>
      </c>
      <c r="I14" s="10">
        <v>0</v>
      </c>
      <c r="J14" s="10">
        <v>0</v>
      </c>
      <c r="Q14" s="18"/>
    </row>
    <row r="15" spans="1:17" ht="41.25" customHeight="1">
      <c r="A15" s="248" t="s">
        <v>13</v>
      </c>
      <c r="B15" s="53">
        <v>4030</v>
      </c>
      <c r="C15" s="169">
        <v>0</v>
      </c>
      <c r="D15" s="169">
        <v>0</v>
      </c>
      <c r="E15" s="169">
        <v>0</v>
      </c>
      <c r="F15" s="82">
        <v>0</v>
      </c>
      <c r="G15" s="82"/>
      <c r="H15" s="82"/>
      <c r="I15" s="82"/>
      <c r="J15" s="82"/>
      <c r="P15" s="18"/>
    </row>
    <row r="16" spans="1:17" ht="36.75" customHeight="1">
      <c r="A16" s="248" t="s">
        <v>1</v>
      </c>
      <c r="B16" s="52">
        <v>4040</v>
      </c>
      <c r="C16" s="169"/>
      <c r="D16" s="82" t="s">
        <v>359</v>
      </c>
      <c r="E16" s="82"/>
      <c r="F16" s="82"/>
      <c r="G16" s="82"/>
      <c r="H16" s="82"/>
      <c r="I16" s="82"/>
      <c r="J16" s="82"/>
    </row>
    <row r="17" spans="1:10" ht="56.25" customHeight="1">
      <c r="A17" s="248" t="s">
        <v>323</v>
      </c>
      <c r="B17" s="168">
        <v>4050</v>
      </c>
      <c r="C17" s="169">
        <v>495</v>
      </c>
      <c r="D17" s="169">
        <v>0</v>
      </c>
      <c r="E17" s="169"/>
      <c r="F17" s="82">
        <f>F18+F19++F20</f>
        <v>0</v>
      </c>
      <c r="G17" s="82"/>
      <c r="H17" s="82"/>
      <c r="I17" s="82"/>
      <c r="J17" s="82"/>
    </row>
    <row r="18" spans="1:10" ht="37.5" customHeight="1">
      <c r="A18" s="249" t="s">
        <v>365</v>
      </c>
      <c r="B18" s="8" t="s">
        <v>368</v>
      </c>
      <c r="C18" s="171">
        <v>21</v>
      </c>
      <c r="D18" s="171">
        <v>0</v>
      </c>
      <c r="E18" s="171"/>
      <c r="F18" s="171">
        <v>0</v>
      </c>
      <c r="G18" s="98"/>
      <c r="H18" s="163"/>
      <c r="I18" s="163"/>
      <c r="J18" s="98"/>
    </row>
    <row r="19" spans="1:10" ht="39.75" customHeight="1">
      <c r="A19" s="249" t="s">
        <v>366</v>
      </c>
      <c r="B19" s="8" t="s">
        <v>360</v>
      </c>
      <c r="C19" s="171">
        <v>474</v>
      </c>
      <c r="D19" s="171">
        <v>0</v>
      </c>
      <c r="E19" s="171"/>
      <c r="F19" s="171">
        <v>0</v>
      </c>
      <c r="G19" s="98"/>
      <c r="H19" s="163"/>
      <c r="I19" s="163"/>
      <c r="J19" s="98"/>
    </row>
    <row r="20" spans="1:10" ht="56.25">
      <c r="A20" s="249" t="s">
        <v>367</v>
      </c>
      <c r="B20" s="8" t="s">
        <v>369</v>
      </c>
      <c r="C20" s="98"/>
      <c r="D20" s="98"/>
      <c r="E20" s="98"/>
      <c r="F20" s="98">
        <v>0</v>
      </c>
      <c r="G20" s="98"/>
      <c r="H20" s="163"/>
      <c r="I20" s="163"/>
      <c r="J20" s="98"/>
    </row>
    <row r="21" spans="1:10" ht="33" customHeight="1">
      <c r="A21" s="172"/>
      <c r="B21" s="24"/>
      <c r="C21" s="173"/>
      <c r="D21" s="173"/>
      <c r="E21" s="173"/>
      <c r="F21" s="173"/>
      <c r="G21" s="173"/>
      <c r="H21" s="174"/>
      <c r="I21" s="174"/>
      <c r="J21" s="174"/>
    </row>
    <row r="22" spans="1:10" ht="32.25" customHeight="1">
      <c r="A22" s="41" t="s">
        <v>364</v>
      </c>
      <c r="B22" s="1"/>
      <c r="C22" s="576" t="s">
        <v>82</v>
      </c>
      <c r="D22" s="576"/>
      <c r="E22" s="576"/>
      <c r="F22" s="576"/>
      <c r="G22" s="12"/>
      <c r="H22" s="577" t="s">
        <v>326</v>
      </c>
      <c r="I22" s="577"/>
      <c r="J22" s="577"/>
    </row>
    <row r="23" spans="1:10" s="2" customFormat="1" ht="20.100000000000001" customHeight="1">
      <c r="A23" s="175" t="s">
        <v>58</v>
      </c>
      <c r="B23" s="176"/>
      <c r="C23" s="578" t="s">
        <v>59</v>
      </c>
      <c r="D23" s="578"/>
      <c r="E23" s="578"/>
      <c r="F23" s="578"/>
      <c r="G23" s="177"/>
      <c r="H23" s="562" t="s">
        <v>78</v>
      </c>
      <c r="I23" s="562"/>
      <c r="J23" s="562"/>
    </row>
    <row r="24" spans="1:10">
      <c r="A24" s="37"/>
    </row>
    <row r="25" spans="1:10">
      <c r="A25" s="37"/>
    </row>
    <row r="26" spans="1:10">
      <c r="A26" s="37"/>
    </row>
    <row r="27" spans="1:10">
      <c r="A27" s="37"/>
    </row>
    <row r="28" spans="1:10">
      <c r="A28" s="37"/>
    </row>
    <row r="29" spans="1:10">
      <c r="A29" s="37"/>
    </row>
    <row r="30" spans="1:10">
      <c r="A30" s="37"/>
    </row>
    <row r="31" spans="1:10">
      <c r="A31" s="37"/>
    </row>
    <row r="32" spans="1:10">
      <c r="A32" s="37"/>
    </row>
    <row r="33" spans="1:1">
      <c r="A33" s="37"/>
    </row>
    <row r="34" spans="1:1">
      <c r="A34" s="37"/>
    </row>
    <row r="35" spans="1:1">
      <c r="A35" s="37"/>
    </row>
    <row r="36" spans="1:1">
      <c r="A36" s="37"/>
    </row>
    <row r="37" spans="1:1">
      <c r="A37" s="37"/>
    </row>
    <row r="38" spans="1:1">
      <c r="A38" s="37"/>
    </row>
    <row r="39" spans="1:1">
      <c r="A39" s="37"/>
    </row>
    <row r="40" spans="1:1">
      <c r="A40" s="37"/>
    </row>
    <row r="41" spans="1:1">
      <c r="A41" s="37"/>
    </row>
    <row r="42" spans="1:1">
      <c r="A42" s="37"/>
    </row>
    <row r="43" spans="1:1">
      <c r="A43" s="37"/>
    </row>
    <row r="44" spans="1:1">
      <c r="A44" s="37"/>
    </row>
    <row r="45" spans="1:1">
      <c r="A45" s="37"/>
    </row>
    <row r="46" spans="1:1">
      <c r="A46" s="37"/>
    </row>
    <row r="47" spans="1:1">
      <c r="A47" s="37"/>
    </row>
    <row r="48" spans="1:1">
      <c r="A48" s="37"/>
    </row>
    <row r="49" spans="1:1">
      <c r="A49" s="37"/>
    </row>
    <row r="50" spans="1:1">
      <c r="A50" s="37"/>
    </row>
    <row r="51" spans="1:1">
      <c r="A51" s="37"/>
    </row>
    <row r="52" spans="1:1">
      <c r="A52" s="37"/>
    </row>
    <row r="53" spans="1:1">
      <c r="A53" s="37"/>
    </row>
    <row r="54" spans="1:1">
      <c r="A54" s="37"/>
    </row>
    <row r="55" spans="1:1">
      <c r="A55" s="37"/>
    </row>
    <row r="56" spans="1:1">
      <c r="A56" s="37"/>
    </row>
    <row r="57" spans="1:1">
      <c r="A57" s="37"/>
    </row>
    <row r="58" spans="1:1">
      <c r="A58" s="37"/>
    </row>
    <row r="59" spans="1:1">
      <c r="A59" s="37"/>
    </row>
    <row r="60" spans="1:1">
      <c r="A60" s="37"/>
    </row>
    <row r="61" spans="1:1">
      <c r="A61" s="37"/>
    </row>
    <row r="62" spans="1:1">
      <c r="A62" s="37"/>
    </row>
    <row r="63" spans="1:1">
      <c r="A63" s="37"/>
    </row>
    <row r="64" spans="1:1">
      <c r="A64" s="37"/>
    </row>
    <row r="65" spans="1:1">
      <c r="A65" s="37"/>
    </row>
    <row r="66" spans="1:1">
      <c r="A66" s="37"/>
    </row>
    <row r="67" spans="1:1">
      <c r="A67" s="37"/>
    </row>
    <row r="68" spans="1:1">
      <c r="A68" s="37"/>
    </row>
    <row r="69" spans="1:1">
      <c r="A69" s="37"/>
    </row>
    <row r="70" spans="1:1">
      <c r="A70" s="37"/>
    </row>
    <row r="71" spans="1:1">
      <c r="A71" s="37"/>
    </row>
    <row r="72" spans="1:1">
      <c r="A72" s="37"/>
    </row>
    <row r="73" spans="1:1">
      <c r="A73" s="37"/>
    </row>
    <row r="74" spans="1:1">
      <c r="A74" s="37"/>
    </row>
    <row r="75" spans="1:1">
      <c r="A75" s="37"/>
    </row>
    <row r="76" spans="1:1">
      <c r="A76" s="37"/>
    </row>
    <row r="77" spans="1:1">
      <c r="A77" s="37"/>
    </row>
    <row r="78" spans="1:1">
      <c r="A78" s="37"/>
    </row>
    <row r="79" spans="1:1">
      <c r="A79" s="37"/>
    </row>
    <row r="80" spans="1:1">
      <c r="A80" s="37"/>
    </row>
    <row r="81" spans="1:1">
      <c r="A81" s="37"/>
    </row>
    <row r="82" spans="1:1">
      <c r="A82" s="37"/>
    </row>
    <row r="83" spans="1:1">
      <c r="A83" s="37"/>
    </row>
    <row r="84" spans="1:1">
      <c r="A84" s="37"/>
    </row>
    <row r="85" spans="1:1">
      <c r="A85" s="37"/>
    </row>
    <row r="86" spans="1:1">
      <c r="A86" s="37"/>
    </row>
    <row r="87" spans="1:1">
      <c r="A87" s="37"/>
    </row>
    <row r="88" spans="1:1">
      <c r="A88" s="37"/>
    </row>
    <row r="89" spans="1:1">
      <c r="A89" s="37"/>
    </row>
    <row r="90" spans="1:1">
      <c r="A90" s="37"/>
    </row>
    <row r="91" spans="1:1">
      <c r="A91" s="37"/>
    </row>
    <row r="92" spans="1:1">
      <c r="A92" s="37"/>
    </row>
    <row r="93" spans="1:1">
      <c r="A93" s="37"/>
    </row>
    <row r="94" spans="1:1">
      <c r="A94" s="37"/>
    </row>
    <row r="95" spans="1:1">
      <c r="A95" s="37"/>
    </row>
    <row r="96" spans="1:1">
      <c r="A96" s="37"/>
    </row>
    <row r="97" spans="1:1">
      <c r="A97" s="37"/>
    </row>
    <row r="98" spans="1:1">
      <c r="A98" s="37"/>
    </row>
    <row r="99" spans="1:1">
      <c r="A99" s="37"/>
    </row>
    <row r="100" spans="1:1">
      <c r="A100" s="37"/>
    </row>
    <row r="101" spans="1:1">
      <c r="A101" s="37"/>
    </row>
    <row r="102" spans="1:1">
      <c r="A102" s="37"/>
    </row>
    <row r="103" spans="1:1">
      <c r="A103" s="37"/>
    </row>
    <row r="104" spans="1:1">
      <c r="A104" s="37"/>
    </row>
    <row r="105" spans="1:1">
      <c r="A105" s="37"/>
    </row>
    <row r="106" spans="1:1">
      <c r="A106" s="37"/>
    </row>
    <row r="107" spans="1:1">
      <c r="A107" s="37"/>
    </row>
    <row r="108" spans="1:1">
      <c r="A108" s="37"/>
    </row>
    <row r="109" spans="1:1">
      <c r="A109" s="37"/>
    </row>
    <row r="110" spans="1:1">
      <c r="A110" s="37"/>
    </row>
    <row r="111" spans="1:1">
      <c r="A111" s="37"/>
    </row>
    <row r="112" spans="1:1">
      <c r="A112" s="37"/>
    </row>
    <row r="113" spans="1:1">
      <c r="A113" s="37"/>
    </row>
    <row r="114" spans="1:1">
      <c r="A114" s="37"/>
    </row>
    <row r="115" spans="1:1">
      <c r="A115" s="37"/>
    </row>
    <row r="116" spans="1:1">
      <c r="A116" s="37"/>
    </row>
    <row r="117" spans="1:1">
      <c r="A117" s="37"/>
    </row>
    <row r="118" spans="1:1">
      <c r="A118" s="37"/>
    </row>
    <row r="119" spans="1:1">
      <c r="A119" s="37"/>
    </row>
    <row r="120" spans="1:1">
      <c r="A120" s="37"/>
    </row>
    <row r="121" spans="1:1">
      <c r="A121" s="37"/>
    </row>
    <row r="122" spans="1:1">
      <c r="A122" s="37"/>
    </row>
    <row r="123" spans="1:1">
      <c r="A123" s="37"/>
    </row>
    <row r="124" spans="1:1">
      <c r="A124" s="37"/>
    </row>
    <row r="125" spans="1:1">
      <c r="A125" s="37"/>
    </row>
    <row r="126" spans="1:1">
      <c r="A126" s="37"/>
    </row>
    <row r="127" spans="1:1">
      <c r="A127" s="37"/>
    </row>
    <row r="128" spans="1:1">
      <c r="A128" s="37"/>
    </row>
    <row r="129" spans="1:1">
      <c r="A129" s="37"/>
    </row>
    <row r="130" spans="1:1">
      <c r="A130" s="37"/>
    </row>
    <row r="131" spans="1:1">
      <c r="A131" s="37"/>
    </row>
    <row r="132" spans="1:1">
      <c r="A132" s="37"/>
    </row>
    <row r="133" spans="1:1">
      <c r="A133" s="37"/>
    </row>
    <row r="134" spans="1:1">
      <c r="A134" s="37"/>
    </row>
    <row r="135" spans="1:1">
      <c r="A135" s="37"/>
    </row>
    <row r="136" spans="1:1">
      <c r="A136" s="37"/>
    </row>
    <row r="137" spans="1:1">
      <c r="A137" s="37"/>
    </row>
    <row r="138" spans="1:1">
      <c r="A138" s="37"/>
    </row>
    <row r="139" spans="1:1">
      <c r="A139" s="37"/>
    </row>
    <row r="140" spans="1:1">
      <c r="A140" s="37"/>
    </row>
    <row r="141" spans="1:1">
      <c r="A141" s="37"/>
    </row>
    <row r="142" spans="1:1">
      <c r="A142" s="37"/>
    </row>
    <row r="143" spans="1:1">
      <c r="A143" s="37"/>
    </row>
    <row r="144" spans="1:1">
      <c r="A144" s="37"/>
    </row>
    <row r="145" spans="1:1">
      <c r="A145" s="37"/>
    </row>
    <row r="146" spans="1:1">
      <c r="A146" s="37"/>
    </row>
    <row r="147" spans="1:1">
      <c r="A147" s="37"/>
    </row>
    <row r="148" spans="1:1">
      <c r="A148" s="37"/>
    </row>
    <row r="149" spans="1:1">
      <c r="A149" s="37"/>
    </row>
    <row r="150" spans="1:1">
      <c r="A150" s="37"/>
    </row>
    <row r="151" spans="1:1">
      <c r="A151" s="37"/>
    </row>
    <row r="152" spans="1:1">
      <c r="A152" s="37"/>
    </row>
    <row r="153" spans="1:1">
      <c r="A153" s="37"/>
    </row>
    <row r="154" spans="1:1">
      <c r="A154" s="37"/>
    </row>
    <row r="155" spans="1:1">
      <c r="A155" s="37"/>
    </row>
    <row r="156" spans="1:1">
      <c r="A156" s="37"/>
    </row>
    <row r="157" spans="1:1">
      <c r="A157" s="37"/>
    </row>
    <row r="158" spans="1:1">
      <c r="A158" s="37"/>
    </row>
    <row r="159" spans="1:1">
      <c r="A159" s="37"/>
    </row>
    <row r="160" spans="1:1">
      <c r="A160" s="37"/>
    </row>
    <row r="161" spans="1:1">
      <c r="A161" s="37"/>
    </row>
    <row r="162" spans="1:1">
      <c r="A162" s="37"/>
    </row>
    <row r="163" spans="1:1">
      <c r="A163" s="37"/>
    </row>
    <row r="164" spans="1:1">
      <c r="A164" s="37"/>
    </row>
    <row r="165" spans="1:1">
      <c r="A165" s="37"/>
    </row>
    <row r="166" spans="1:1">
      <c r="A166" s="37"/>
    </row>
    <row r="167" spans="1:1">
      <c r="A167" s="37"/>
    </row>
    <row r="168" spans="1:1">
      <c r="A168" s="37"/>
    </row>
    <row r="169" spans="1:1">
      <c r="A169" s="37"/>
    </row>
    <row r="170" spans="1:1">
      <c r="A170" s="37"/>
    </row>
    <row r="171" spans="1:1">
      <c r="A171" s="37"/>
    </row>
    <row r="172" spans="1:1">
      <c r="A172" s="37"/>
    </row>
    <row r="173" spans="1:1">
      <c r="A173" s="37"/>
    </row>
    <row r="174" spans="1:1">
      <c r="A174" s="37"/>
    </row>
    <row r="175" spans="1:1">
      <c r="A175" s="37"/>
    </row>
    <row r="176" spans="1:1">
      <c r="A176" s="37"/>
    </row>
    <row r="177" spans="1:1">
      <c r="A177" s="37"/>
    </row>
    <row r="178" spans="1:1">
      <c r="A178" s="37"/>
    </row>
    <row r="179" spans="1:1">
      <c r="A179" s="37"/>
    </row>
    <row r="180" spans="1:1">
      <c r="A180" s="37"/>
    </row>
    <row r="181" spans="1:1">
      <c r="A181" s="37"/>
    </row>
    <row r="182" spans="1:1">
      <c r="A182" s="37"/>
    </row>
    <row r="183" spans="1:1">
      <c r="A183" s="37"/>
    </row>
    <row r="184" spans="1:1">
      <c r="A184" s="37"/>
    </row>
    <row r="185" spans="1:1">
      <c r="A185" s="37"/>
    </row>
    <row r="186" spans="1:1">
      <c r="A186" s="37"/>
    </row>
    <row r="187" spans="1:1">
      <c r="A187" s="37"/>
    </row>
    <row r="188" spans="1:1">
      <c r="A188" s="37"/>
    </row>
    <row r="189" spans="1:1">
      <c r="A189" s="37"/>
    </row>
  </sheetData>
  <mergeCells count="13">
    <mergeCell ref="C22:F22"/>
    <mergeCell ref="H22:J22"/>
    <mergeCell ref="C23:F23"/>
    <mergeCell ref="H23:J23"/>
    <mergeCell ref="A5:A6"/>
    <mergeCell ref="A3:J3"/>
    <mergeCell ref="B5:B6"/>
    <mergeCell ref="C5:C6"/>
    <mergeCell ref="A4:J4"/>
    <mergeCell ref="F5:F6"/>
    <mergeCell ref="E5:E6"/>
    <mergeCell ref="D5:D6"/>
    <mergeCell ref="G5:J5"/>
  </mergeCells>
  <phoneticPr fontId="0" type="noConversion"/>
  <pageMargins left="0.70866141732283472" right="0.19685039370078741" top="0.78740157480314965" bottom="0.78740157480314965" header="0.27559055118110237" footer="0.31496062992125984"/>
  <pageSetup paperSize="9" scale="50" firstPageNumber="9" fitToHeight="0" orientation="portrait" useFirstPageNumber="1" r:id="rId1"/>
  <headerFooter alignWithMargins="0">
    <oddHeader>&amp;C&amp;"Times New Roman,обычный"&amp;14 10&amp;R&amp;"Times New Roman,обычный"&amp;14Продовження додатка 1 Таблиця 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X94"/>
  <sheetViews>
    <sheetView tabSelected="1" view="pageBreakPreview" zoomScale="60" zoomScaleNormal="75" workbookViewId="0"/>
  </sheetViews>
  <sheetFormatPr defaultRowHeight="18.75" outlineLevelRow="1"/>
  <cols>
    <col min="1" max="1" width="26.5703125" style="2" customWidth="1"/>
    <col min="2" max="2" width="13.7109375" style="17" customWidth="1"/>
    <col min="3" max="3" width="11.85546875" style="2" customWidth="1"/>
    <col min="4" max="4" width="11.42578125" style="2" customWidth="1"/>
    <col min="5" max="5" width="12" style="2" customWidth="1"/>
    <col min="6" max="6" width="10.28515625" style="2" customWidth="1"/>
    <col min="7" max="7" width="9.140625" style="2" customWidth="1"/>
    <col min="8" max="8" width="9.28515625" style="2" customWidth="1"/>
    <col min="9" max="9" width="7.42578125" style="2" customWidth="1"/>
    <col min="10" max="10" width="13.7109375" style="2" customWidth="1"/>
    <col min="11" max="11" width="9.140625" style="2"/>
    <col min="12" max="12" width="9.85546875" style="2" customWidth="1"/>
    <col min="13" max="13" width="7.85546875" style="2" customWidth="1"/>
    <col min="14" max="14" width="7.42578125" style="2" customWidth="1"/>
    <col min="15" max="15" width="8" style="2" customWidth="1"/>
    <col min="16" max="16" width="9.5703125" style="2" customWidth="1"/>
    <col min="17" max="17" width="6" style="2" customWidth="1"/>
    <col min="18" max="18" width="7" style="2" customWidth="1"/>
    <col min="19" max="19" width="9.140625" style="2"/>
    <col min="20" max="20" width="7.28515625" style="2" customWidth="1"/>
    <col min="21" max="23" width="9.140625" style="2"/>
    <col min="24" max="24" width="10.140625" style="2" bestFit="1" customWidth="1"/>
  </cols>
  <sheetData>
    <row r="1" spans="1:24">
      <c r="B1" s="2"/>
    </row>
    <row r="2" spans="1:24">
      <c r="A2" s="502" t="s">
        <v>481</v>
      </c>
      <c r="B2" s="502"/>
      <c r="C2" s="502"/>
      <c r="D2" s="502"/>
      <c r="E2" s="502"/>
      <c r="F2" s="502"/>
      <c r="G2" s="502"/>
      <c r="H2" s="233"/>
      <c r="K2" s="242"/>
      <c r="L2" s="242"/>
      <c r="M2" s="242"/>
      <c r="N2" s="242"/>
      <c r="O2" s="242"/>
    </row>
    <row r="3" spans="1:24">
      <c r="A3" s="502" t="s">
        <v>538</v>
      </c>
      <c r="B3" s="502"/>
      <c r="C3" s="502"/>
      <c r="D3" s="502"/>
      <c r="E3" s="502"/>
      <c r="F3" s="502"/>
      <c r="G3" s="502"/>
      <c r="H3" s="233"/>
      <c r="K3" s="242"/>
      <c r="L3" s="242"/>
      <c r="M3" s="242"/>
      <c r="N3" s="242"/>
      <c r="O3" s="242"/>
    </row>
    <row r="4" spans="1:24">
      <c r="A4" s="502" t="s">
        <v>482</v>
      </c>
      <c r="B4" s="502"/>
      <c r="C4" s="502"/>
      <c r="D4" s="502"/>
      <c r="E4" s="502"/>
      <c r="F4" s="502"/>
      <c r="G4" s="502"/>
      <c r="H4" s="233"/>
      <c r="K4" s="21"/>
      <c r="L4" s="21"/>
      <c r="M4" s="21"/>
      <c r="N4" s="21"/>
      <c r="O4" s="21"/>
    </row>
    <row r="5" spans="1:24">
      <c r="A5" s="583" t="s">
        <v>102</v>
      </c>
      <c r="B5" s="583"/>
      <c r="C5" s="583"/>
      <c r="D5" s="583"/>
      <c r="E5" s="583"/>
      <c r="F5" s="583"/>
      <c r="G5" s="583"/>
      <c r="H5" s="333"/>
      <c r="K5" s="221"/>
      <c r="L5" s="221"/>
      <c r="M5" s="221"/>
      <c r="N5" s="221"/>
      <c r="O5" s="221"/>
    </row>
    <row r="6" spans="1:24">
      <c r="A6" s="502" t="s">
        <v>483</v>
      </c>
      <c r="B6" s="502"/>
      <c r="C6" s="502"/>
      <c r="D6" s="502"/>
      <c r="E6" s="502"/>
      <c r="F6" s="502"/>
      <c r="G6" s="502"/>
      <c r="H6" s="5"/>
      <c r="K6" s="5"/>
      <c r="L6" s="5"/>
      <c r="M6" s="5"/>
      <c r="N6" s="5"/>
      <c r="O6" s="5"/>
    </row>
    <row r="7" spans="1:24">
      <c r="A7" s="584" t="s">
        <v>222</v>
      </c>
      <c r="B7" s="584"/>
      <c r="C7" s="584"/>
      <c r="D7" s="584"/>
      <c r="E7" s="584"/>
      <c r="F7" s="584"/>
      <c r="G7" s="584"/>
      <c r="H7" s="239"/>
    </row>
    <row r="8" spans="1:24" ht="47.25">
      <c r="A8" s="230" t="s">
        <v>183</v>
      </c>
      <c r="B8" s="361" t="s">
        <v>484</v>
      </c>
      <c r="C8" s="361" t="s">
        <v>485</v>
      </c>
      <c r="D8" s="571" t="s">
        <v>486</v>
      </c>
      <c r="E8" s="571"/>
      <c r="F8" s="571" t="s">
        <v>487</v>
      </c>
      <c r="G8" s="579"/>
      <c r="H8" s="40"/>
      <c r="I8" s="40"/>
      <c r="J8" s="40"/>
      <c r="K8" s="40"/>
      <c r="L8" s="40"/>
      <c r="M8" s="40"/>
      <c r="N8" s="580"/>
      <c r="O8" s="580"/>
      <c r="P8" s="239"/>
      <c r="Q8" s="239"/>
      <c r="R8" s="239"/>
      <c r="S8" s="239"/>
      <c r="T8" s="239"/>
      <c r="U8" s="239"/>
      <c r="V8" s="239"/>
      <c r="W8" s="239"/>
      <c r="X8" s="239"/>
    </row>
    <row r="9" spans="1:24">
      <c r="A9" s="230">
        <v>1</v>
      </c>
      <c r="B9" s="112">
        <v>2</v>
      </c>
      <c r="C9" s="112">
        <v>3</v>
      </c>
      <c r="D9" s="581">
        <v>4</v>
      </c>
      <c r="E9" s="581"/>
      <c r="F9" s="581">
        <v>5</v>
      </c>
      <c r="G9" s="582"/>
      <c r="H9" s="40"/>
      <c r="I9" s="40"/>
      <c r="J9" s="40"/>
      <c r="K9" s="40"/>
      <c r="L9" s="40"/>
      <c r="M9" s="40"/>
      <c r="N9" s="580"/>
      <c r="O9" s="580"/>
      <c r="P9" s="239"/>
      <c r="Q9" s="239"/>
      <c r="R9" s="239"/>
      <c r="S9" s="239"/>
      <c r="T9" s="239"/>
      <c r="U9" s="239"/>
      <c r="V9" s="239"/>
      <c r="W9" s="239"/>
      <c r="X9" s="239"/>
    </row>
    <row r="10" spans="1:24" ht="51" customHeight="1">
      <c r="A10" s="113" t="s">
        <v>103</v>
      </c>
      <c r="B10" s="223">
        <f>B11+B12+B13+B14+B15</f>
        <v>86</v>
      </c>
      <c r="C10" s="488">
        <f>C11+C12+C13+C14+C15</f>
        <v>89</v>
      </c>
      <c r="D10" s="585">
        <f>C10-B10</f>
        <v>3</v>
      </c>
      <c r="E10" s="585"/>
      <c r="F10" s="586">
        <f>C10/B10*100</f>
        <v>103.48837209302326</v>
      </c>
      <c r="G10" s="587"/>
      <c r="H10" s="236"/>
      <c r="I10" s="236"/>
      <c r="J10" s="236"/>
      <c r="K10" s="236"/>
      <c r="L10" s="236"/>
      <c r="M10" s="236"/>
      <c r="N10" s="576"/>
      <c r="O10" s="576"/>
      <c r="P10" s="239"/>
      <c r="Q10" s="239"/>
      <c r="R10" s="239"/>
      <c r="S10" s="239"/>
      <c r="T10" s="239"/>
      <c r="U10" s="239"/>
      <c r="V10" s="239"/>
      <c r="W10" s="239"/>
      <c r="X10" s="239"/>
    </row>
    <row r="11" spans="1:24">
      <c r="A11" s="67" t="s">
        <v>204</v>
      </c>
      <c r="B11" s="235">
        <f>'5.1. Інша інформація'!E15</f>
        <v>4</v>
      </c>
      <c r="C11" s="425">
        <v>4</v>
      </c>
      <c r="D11" s="585">
        <f t="shared" ref="D11:D31" si="0">C11-B11</f>
        <v>0</v>
      </c>
      <c r="E11" s="585"/>
      <c r="F11" s="586">
        <f t="shared" ref="F11:F32" si="1">C11/B11*100</f>
        <v>100</v>
      </c>
      <c r="G11" s="587"/>
      <c r="H11" s="236"/>
      <c r="I11" s="236"/>
      <c r="J11" s="236"/>
      <c r="K11" s="236"/>
      <c r="L11" s="236"/>
      <c r="M11" s="236"/>
      <c r="N11" s="576"/>
      <c r="O11" s="576"/>
      <c r="P11" s="239"/>
      <c r="Q11" s="239"/>
      <c r="R11" s="239"/>
      <c r="S11" s="239"/>
      <c r="T11" s="239"/>
      <c r="U11" s="239"/>
      <c r="V11" s="239"/>
      <c r="W11" s="239"/>
      <c r="X11" s="239"/>
    </row>
    <row r="12" spans="1:24">
      <c r="A12" s="67" t="s">
        <v>205</v>
      </c>
      <c r="B12" s="235">
        <f>'5.1. Інша інформація'!E16</f>
        <v>6</v>
      </c>
      <c r="C12" s="425">
        <v>6</v>
      </c>
      <c r="D12" s="585">
        <f t="shared" si="0"/>
        <v>0</v>
      </c>
      <c r="E12" s="585"/>
      <c r="F12" s="586">
        <f t="shared" si="1"/>
        <v>100</v>
      </c>
      <c r="G12" s="587"/>
      <c r="H12" s="236"/>
      <c r="I12" s="236"/>
      <c r="J12" s="236"/>
      <c r="K12" s="236"/>
      <c r="L12" s="236"/>
      <c r="M12" s="236"/>
      <c r="N12" s="576"/>
      <c r="O12" s="576"/>
      <c r="P12" s="239"/>
      <c r="Q12" s="239"/>
      <c r="R12" s="239"/>
      <c r="S12" s="239"/>
      <c r="T12" s="239"/>
      <c r="U12" s="239"/>
      <c r="V12" s="239"/>
      <c r="W12" s="239"/>
      <c r="X12" s="239"/>
    </row>
    <row r="13" spans="1:24">
      <c r="A13" s="67" t="s">
        <v>206</v>
      </c>
      <c r="B13" s="235">
        <f>'5.1. Інша інформація'!E17</f>
        <v>2</v>
      </c>
      <c r="C13" s="425">
        <v>2</v>
      </c>
      <c r="D13" s="585">
        <f t="shared" si="0"/>
        <v>0</v>
      </c>
      <c r="E13" s="585"/>
      <c r="F13" s="586">
        <f t="shared" si="1"/>
        <v>100</v>
      </c>
      <c r="G13" s="587"/>
      <c r="H13" s="236"/>
      <c r="I13" s="236"/>
      <c r="J13" s="236"/>
      <c r="K13" s="236"/>
      <c r="L13" s="236"/>
      <c r="M13" s="236"/>
      <c r="N13" s="576"/>
      <c r="O13" s="576"/>
      <c r="P13" s="239"/>
      <c r="Q13" s="239"/>
      <c r="R13" s="239"/>
      <c r="S13" s="239"/>
      <c r="T13" s="239"/>
      <c r="U13" s="239"/>
      <c r="V13" s="239"/>
      <c r="W13" s="239"/>
      <c r="X13" s="239"/>
    </row>
    <row r="14" spans="1:24" ht="21.75" customHeight="1">
      <c r="A14" s="67" t="s">
        <v>207</v>
      </c>
      <c r="B14" s="235">
        <f>'5.1. Інша інформація'!E18</f>
        <v>2</v>
      </c>
      <c r="C14" s="425">
        <v>2</v>
      </c>
      <c r="D14" s="585">
        <f t="shared" si="0"/>
        <v>0</v>
      </c>
      <c r="E14" s="585"/>
      <c r="F14" s="586">
        <f t="shared" si="1"/>
        <v>100</v>
      </c>
      <c r="G14" s="587"/>
      <c r="H14" s="236"/>
      <c r="I14" s="236"/>
      <c r="J14" s="236"/>
      <c r="K14" s="236"/>
      <c r="L14" s="236"/>
      <c r="M14" s="236"/>
      <c r="N14" s="576"/>
      <c r="O14" s="576"/>
      <c r="P14" s="239"/>
      <c r="Q14" s="239"/>
      <c r="R14" s="239"/>
      <c r="S14" s="239"/>
      <c r="T14" s="239"/>
      <c r="U14" s="239"/>
      <c r="V14" s="239"/>
      <c r="W14" s="239"/>
      <c r="X14" s="239"/>
    </row>
    <row r="15" spans="1:24">
      <c r="A15" s="67" t="s">
        <v>208</v>
      </c>
      <c r="B15" s="235">
        <f>'5.1. Інша інформація'!E19</f>
        <v>72</v>
      </c>
      <c r="C15" s="425">
        <v>75</v>
      </c>
      <c r="D15" s="585">
        <f t="shared" si="0"/>
        <v>3</v>
      </c>
      <c r="E15" s="585"/>
      <c r="F15" s="586">
        <f t="shared" si="1"/>
        <v>104.16666666666667</v>
      </c>
      <c r="G15" s="587"/>
      <c r="H15" s="236"/>
      <c r="I15" s="236"/>
      <c r="J15" s="236"/>
      <c r="K15" s="236"/>
      <c r="L15" s="236"/>
      <c r="M15" s="236"/>
      <c r="N15" s="576"/>
      <c r="O15" s="576"/>
      <c r="P15" s="239"/>
      <c r="Q15" s="239"/>
      <c r="R15" s="239"/>
      <c r="S15" s="239"/>
      <c r="T15" s="239"/>
      <c r="U15" s="239"/>
      <c r="V15" s="239"/>
      <c r="W15" s="239"/>
      <c r="X15" s="239"/>
    </row>
    <row r="16" spans="1:24">
      <c r="A16" s="67" t="s">
        <v>209</v>
      </c>
      <c r="B16" s="67"/>
      <c r="C16" s="67"/>
      <c r="D16" s="585"/>
      <c r="E16" s="585"/>
      <c r="F16" s="586"/>
      <c r="G16" s="587"/>
      <c r="H16" s="236"/>
      <c r="I16" s="236"/>
      <c r="J16" s="236"/>
      <c r="K16" s="236"/>
      <c r="L16" s="236"/>
      <c r="M16" s="236"/>
      <c r="N16" s="576"/>
      <c r="O16" s="576"/>
      <c r="P16" s="239"/>
      <c r="Q16" s="239"/>
      <c r="R16" s="239"/>
      <c r="S16" s="239"/>
      <c r="T16" s="239"/>
      <c r="U16" s="239"/>
      <c r="V16" s="239"/>
      <c r="W16" s="239"/>
      <c r="X16" s="239"/>
    </row>
    <row r="17" spans="1:24" ht="48" customHeight="1">
      <c r="A17" s="113" t="s">
        <v>190</v>
      </c>
      <c r="B17" s="223">
        <f>'1.Фінансовий результат'!C104</f>
        <v>3622.2000000000003</v>
      </c>
      <c r="C17" s="223">
        <f>'1.Фінансовий результат'!D104</f>
        <v>4398</v>
      </c>
      <c r="D17" s="586">
        <f t="shared" si="0"/>
        <v>775.79999999999973</v>
      </c>
      <c r="E17" s="586"/>
      <c r="F17" s="586">
        <f t="shared" si="1"/>
        <v>121.41792280934239</v>
      </c>
      <c r="G17" s="587"/>
      <c r="H17" s="236"/>
      <c r="I17" s="236"/>
      <c r="J17" s="236"/>
      <c r="K17" s="236"/>
      <c r="L17" s="236"/>
      <c r="M17" s="236"/>
      <c r="N17" s="576"/>
      <c r="O17" s="576"/>
      <c r="P17" s="239"/>
      <c r="Q17" s="239"/>
      <c r="R17" s="239"/>
      <c r="S17" s="239"/>
      <c r="T17" s="239"/>
      <c r="U17" s="239"/>
      <c r="V17" s="239"/>
      <c r="W17" s="239"/>
      <c r="X17" s="239"/>
    </row>
    <row r="18" spans="1:24">
      <c r="A18" s="67" t="s">
        <v>181</v>
      </c>
      <c r="B18" s="235">
        <f>'5.1. Інша інформація'!E22/12*6</f>
        <v>100.45</v>
      </c>
      <c r="C18" s="408">
        <v>152.715</v>
      </c>
      <c r="D18" s="585">
        <f t="shared" si="0"/>
        <v>52.265000000000001</v>
      </c>
      <c r="E18" s="585"/>
      <c r="F18" s="586">
        <f t="shared" si="1"/>
        <v>152.03086112493779</v>
      </c>
      <c r="G18" s="587"/>
      <c r="H18" s="236"/>
      <c r="I18" s="236"/>
      <c r="J18" s="236"/>
      <c r="K18" s="236"/>
      <c r="L18" s="236"/>
      <c r="M18" s="236"/>
      <c r="N18" s="576"/>
      <c r="O18" s="576"/>
      <c r="P18" s="239"/>
      <c r="Q18" s="239"/>
      <c r="R18" s="239"/>
      <c r="S18" s="239"/>
      <c r="T18" s="239"/>
      <c r="U18" s="239"/>
      <c r="V18" s="239"/>
      <c r="W18" s="239"/>
      <c r="X18" s="239"/>
    </row>
    <row r="19" spans="1:24" ht="32.25" customHeight="1">
      <c r="A19" s="67" t="s">
        <v>192</v>
      </c>
      <c r="B19" s="408">
        <f>'1.Фінансовий результат'!C39-B18</f>
        <v>525.94999999999993</v>
      </c>
      <c r="C19" s="408">
        <f>'1.Фінансовий результат'!D39-C18</f>
        <v>684.18499999999995</v>
      </c>
      <c r="D19" s="586">
        <f>C19-B19</f>
        <v>158.23500000000001</v>
      </c>
      <c r="E19" s="586"/>
      <c r="F19" s="586">
        <f t="shared" si="1"/>
        <v>130.08555946382737</v>
      </c>
      <c r="G19" s="587"/>
      <c r="H19" s="236"/>
      <c r="I19" s="236"/>
      <c r="J19" s="236"/>
      <c r="K19" s="236"/>
      <c r="L19" s="236"/>
      <c r="M19" s="236"/>
      <c r="N19" s="576"/>
      <c r="O19" s="576"/>
      <c r="P19" s="239"/>
      <c r="Q19" s="239"/>
      <c r="R19" s="239"/>
      <c r="S19" s="239"/>
      <c r="T19" s="239"/>
      <c r="U19" s="239"/>
      <c r="V19" s="239"/>
      <c r="W19" s="239"/>
      <c r="X19" s="239"/>
    </row>
    <row r="20" spans="1:24">
      <c r="A20" s="67" t="s">
        <v>182</v>
      </c>
      <c r="B20" s="235">
        <f>B17-B18-B19</f>
        <v>2995.8000000000006</v>
      </c>
      <c r="C20" s="235">
        <f>C17-C18-C19</f>
        <v>3561.1</v>
      </c>
      <c r="D20" s="586">
        <f t="shared" si="0"/>
        <v>565.29999999999927</v>
      </c>
      <c r="E20" s="586"/>
      <c r="F20" s="586">
        <f t="shared" si="1"/>
        <v>118.86975098471191</v>
      </c>
      <c r="G20" s="587"/>
      <c r="H20" s="236"/>
      <c r="I20" s="236"/>
      <c r="J20" s="236"/>
      <c r="K20" s="236"/>
      <c r="L20" s="236"/>
      <c r="M20" s="236"/>
      <c r="N20" s="576"/>
      <c r="O20" s="576"/>
      <c r="P20" s="239"/>
      <c r="Q20" s="239"/>
      <c r="R20" s="239"/>
      <c r="S20" s="239"/>
      <c r="T20" s="239"/>
      <c r="U20" s="239"/>
      <c r="V20" s="239"/>
      <c r="W20" s="239"/>
      <c r="X20" s="239"/>
    </row>
    <row r="21" spans="1:24" ht="50.25" customHeight="1">
      <c r="A21" s="113" t="s">
        <v>191</v>
      </c>
      <c r="B21" s="363">
        <f>'1.Фінансовий результат'!C104</f>
        <v>3622.2000000000003</v>
      </c>
      <c r="C21" s="363">
        <f>'1.Фінансовий результат'!D104</f>
        <v>4398</v>
      </c>
      <c r="D21" s="586">
        <f t="shared" si="0"/>
        <v>775.79999999999973</v>
      </c>
      <c r="E21" s="586"/>
      <c r="F21" s="586">
        <f t="shared" si="1"/>
        <v>121.41792280934239</v>
      </c>
      <c r="G21" s="587"/>
      <c r="H21" s="236"/>
      <c r="I21" s="236"/>
      <c r="J21" s="236"/>
      <c r="K21" s="236"/>
      <c r="L21" s="236"/>
      <c r="M21" s="236"/>
      <c r="N21" s="576"/>
      <c r="O21" s="576"/>
      <c r="P21" s="239"/>
      <c r="Q21" s="239"/>
      <c r="R21" s="239"/>
      <c r="S21" s="239"/>
      <c r="T21" s="239"/>
      <c r="U21" s="239"/>
      <c r="V21" s="239"/>
      <c r="W21" s="239"/>
      <c r="X21" s="239"/>
    </row>
    <row r="22" spans="1:24">
      <c r="A22" s="67" t="s">
        <v>181</v>
      </c>
      <c r="B22" s="235">
        <f>B18</f>
        <v>100.45</v>
      </c>
      <c r="C22" s="235">
        <f>C18</f>
        <v>152.715</v>
      </c>
      <c r="D22" s="585">
        <f t="shared" si="0"/>
        <v>52.265000000000001</v>
      </c>
      <c r="E22" s="585"/>
      <c r="F22" s="586">
        <f t="shared" si="1"/>
        <v>152.03086112493779</v>
      </c>
      <c r="G22" s="587"/>
      <c r="H22" s="236"/>
      <c r="I22" s="236"/>
      <c r="J22" s="236"/>
      <c r="K22" s="236"/>
      <c r="L22" s="236"/>
      <c r="M22" s="236"/>
      <c r="N22" s="576"/>
      <c r="O22" s="576"/>
      <c r="P22" s="239"/>
      <c r="Q22" s="239"/>
      <c r="R22" s="239"/>
      <c r="S22" s="239"/>
      <c r="T22" s="239"/>
      <c r="U22" s="239"/>
      <c r="V22" s="239"/>
      <c r="W22" s="239"/>
      <c r="X22" s="239"/>
    </row>
    <row r="23" spans="1:24" ht="30.75" customHeight="1">
      <c r="A23" s="67" t="s">
        <v>192</v>
      </c>
      <c r="B23" s="183">
        <f>B19</f>
        <v>525.94999999999993</v>
      </c>
      <c r="C23" s="183">
        <f>C19</f>
        <v>684.18499999999995</v>
      </c>
      <c r="D23" s="586">
        <f t="shared" si="0"/>
        <v>158.23500000000001</v>
      </c>
      <c r="E23" s="586"/>
      <c r="F23" s="586">
        <f t="shared" si="1"/>
        <v>130.08555946382737</v>
      </c>
      <c r="G23" s="587"/>
      <c r="H23" s="236"/>
      <c r="I23" s="236"/>
      <c r="J23" s="236"/>
      <c r="K23" s="236"/>
      <c r="L23" s="236"/>
      <c r="M23" s="236"/>
      <c r="N23" s="576"/>
      <c r="O23" s="576"/>
      <c r="P23" s="239"/>
      <c r="Q23" s="239"/>
      <c r="R23" s="239"/>
      <c r="S23" s="239"/>
      <c r="T23" s="239"/>
      <c r="U23" s="239"/>
      <c r="V23" s="239"/>
      <c r="W23" s="239"/>
      <c r="X23" s="239"/>
    </row>
    <row r="24" spans="1:24">
      <c r="A24" s="67" t="s">
        <v>182</v>
      </c>
      <c r="B24" s="183">
        <f>B21-B22-B23</f>
        <v>2995.8000000000006</v>
      </c>
      <c r="C24" s="183">
        <f>C21-C22-C23</f>
        <v>3561.1</v>
      </c>
      <c r="D24" s="586">
        <f t="shared" si="0"/>
        <v>565.29999999999927</v>
      </c>
      <c r="E24" s="586"/>
      <c r="F24" s="586">
        <f t="shared" si="1"/>
        <v>118.86975098471191</v>
      </c>
      <c r="G24" s="587"/>
      <c r="H24" s="236"/>
      <c r="I24" s="236"/>
      <c r="J24" s="236"/>
      <c r="K24" s="236"/>
      <c r="L24" s="236"/>
      <c r="M24" s="236"/>
      <c r="N24" s="576"/>
      <c r="O24" s="576"/>
      <c r="P24" s="239"/>
      <c r="Q24" s="239"/>
      <c r="R24" s="239"/>
      <c r="S24" s="239"/>
      <c r="T24" s="239"/>
      <c r="U24" s="239"/>
      <c r="V24" s="239"/>
      <c r="W24" s="239"/>
      <c r="X24" s="239"/>
    </row>
    <row r="25" spans="1:24" ht="65.25" customHeight="1">
      <c r="A25" s="113" t="s">
        <v>210</v>
      </c>
      <c r="B25" s="364">
        <f>B17/B10/6*1000</f>
        <v>7019.7674418604656</v>
      </c>
      <c r="C25" s="364">
        <f>C17/C10/6*1000</f>
        <v>8235.9550561797751</v>
      </c>
      <c r="D25" s="586">
        <f t="shared" si="0"/>
        <v>1216.1876143193094</v>
      </c>
      <c r="E25" s="586"/>
      <c r="F25" s="586">
        <f t="shared" si="1"/>
        <v>117.32518383824096</v>
      </c>
      <c r="G25" s="587"/>
      <c r="H25" s="236"/>
      <c r="I25" s="236"/>
      <c r="J25" s="236"/>
      <c r="K25" s="236"/>
      <c r="L25" s="236"/>
      <c r="M25" s="236"/>
      <c r="N25" s="576"/>
      <c r="O25" s="576"/>
      <c r="P25" s="239"/>
      <c r="Q25" s="239"/>
      <c r="R25" s="239"/>
      <c r="S25" s="239"/>
      <c r="T25" s="239"/>
      <c r="U25" s="239"/>
      <c r="V25" s="239"/>
      <c r="W25" s="239"/>
      <c r="X25" s="239"/>
    </row>
    <row r="26" spans="1:24">
      <c r="A26" s="67" t="s">
        <v>181</v>
      </c>
      <c r="B26" s="365">
        <f>B18/6*1000</f>
        <v>16741.666666666668</v>
      </c>
      <c r="C26" s="365">
        <f>C18/6*1000</f>
        <v>25452.5</v>
      </c>
      <c r="D26" s="585">
        <f t="shared" si="0"/>
        <v>8710.8333333333321</v>
      </c>
      <c r="E26" s="585"/>
      <c r="F26" s="586">
        <f t="shared" si="1"/>
        <v>152.03086112493779</v>
      </c>
      <c r="G26" s="587"/>
      <c r="H26" s="236"/>
      <c r="I26" s="236"/>
      <c r="J26" s="236"/>
      <c r="K26" s="236"/>
      <c r="L26" s="236"/>
      <c r="M26" s="236"/>
      <c r="N26" s="576"/>
      <c r="O26" s="576"/>
      <c r="P26" s="239"/>
      <c r="Q26" s="239"/>
      <c r="R26" s="239"/>
      <c r="S26" s="239"/>
      <c r="T26" s="239"/>
      <c r="U26" s="239"/>
      <c r="V26" s="239"/>
      <c r="W26" s="239"/>
      <c r="X26" s="239"/>
    </row>
    <row r="27" spans="1:24" ht="34.5" customHeight="1">
      <c r="A27" s="67" t="s">
        <v>192</v>
      </c>
      <c r="B27" s="393">
        <f>B23/6/SUM(B11:B14)*1000</f>
        <v>6261.3095238095229</v>
      </c>
      <c r="C27" s="393">
        <f>C23/6/SUM(C11:C14)*1000</f>
        <v>8145.0595238095239</v>
      </c>
      <c r="D27" s="586">
        <f t="shared" si="0"/>
        <v>1883.7500000000009</v>
      </c>
      <c r="E27" s="586"/>
      <c r="F27" s="586">
        <f t="shared" si="1"/>
        <v>130.08555946382739</v>
      </c>
      <c r="G27" s="587"/>
      <c r="H27" s="236"/>
      <c r="I27" s="236"/>
      <c r="J27" s="236"/>
      <c r="K27" s="236"/>
      <c r="L27" s="236"/>
      <c r="M27" s="236"/>
      <c r="N27" s="576"/>
      <c r="O27" s="576"/>
      <c r="P27" s="239"/>
      <c r="Q27" s="239"/>
      <c r="R27" s="239"/>
      <c r="S27" s="239"/>
      <c r="T27" s="239"/>
      <c r="U27" s="239"/>
      <c r="V27" s="239"/>
      <c r="W27" s="239"/>
      <c r="X27" s="239"/>
    </row>
    <row r="28" spans="1:24">
      <c r="A28" s="67" t="s">
        <v>182</v>
      </c>
      <c r="B28" s="365">
        <f>B24/6/B15*1000</f>
        <v>6934.7222222222235</v>
      </c>
      <c r="C28" s="365">
        <f>C24/6/C15*1000</f>
        <v>7913.5555555555547</v>
      </c>
      <c r="D28" s="586">
        <f>C28-B28</f>
        <v>978.83333333333121</v>
      </c>
      <c r="E28" s="586"/>
      <c r="F28" s="586">
        <f t="shared" si="1"/>
        <v>114.11496094532343</v>
      </c>
      <c r="G28" s="587"/>
      <c r="H28" s="236"/>
      <c r="I28" s="236"/>
      <c r="J28" s="236"/>
      <c r="K28" s="236"/>
      <c r="L28" s="236"/>
      <c r="M28" s="236"/>
      <c r="N28" s="576"/>
      <c r="O28" s="576"/>
      <c r="P28" s="239"/>
      <c r="Q28" s="239"/>
      <c r="R28" s="239"/>
      <c r="S28" s="239"/>
      <c r="T28" s="239"/>
      <c r="U28" s="239"/>
      <c r="V28" s="239"/>
      <c r="W28" s="239"/>
      <c r="X28" s="239"/>
    </row>
    <row r="29" spans="1:24" ht="50.25" customHeight="1">
      <c r="A29" s="113" t="s">
        <v>211</v>
      </c>
      <c r="B29" s="364">
        <f t="shared" ref="B29:C32" si="2">B25</f>
        <v>7019.7674418604656</v>
      </c>
      <c r="C29" s="364">
        <f t="shared" si="2"/>
        <v>8235.9550561797751</v>
      </c>
      <c r="D29" s="586">
        <f t="shared" si="0"/>
        <v>1216.1876143193094</v>
      </c>
      <c r="E29" s="586"/>
      <c r="F29" s="586">
        <f t="shared" si="1"/>
        <v>117.32518383824096</v>
      </c>
      <c r="G29" s="587"/>
      <c r="H29" s="236"/>
      <c r="I29" s="236"/>
      <c r="J29" s="236"/>
      <c r="K29" s="236"/>
      <c r="L29" s="236"/>
      <c r="M29" s="236"/>
      <c r="N29" s="576"/>
      <c r="O29" s="576"/>
      <c r="P29" s="239"/>
      <c r="Q29" s="239"/>
      <c r="R29" s="239"/>
      <c r="S29" s="239"/>
      <c r="T29" s="239"/>
      <c r="U29" s="239"/>
      <c r="V29" s="239"/>
      <c r="W29" s="239"/>
      <c r="X29" s="239"/>
    </row>
    <row r="30" spans="1:24">
      <c r="A30" s="67" t="s">
        <v>181</v>
      </c>
      <c r="B30" s="365">
        <f t="shared" si="2"/>
        <v>16741.666666666668</v>
      </c>
      <c r="C30" s="365">
        <f t="shared" si="2"/>
        <v>25452.5</v>
      </c>
      <c r="D30" s="585">
        <f t="shared" si="0"/>
        <v>8710.8333333333321</v>
      </c>
      <c r="E30" s="585"/>
      <c r="F30" s="586">
        <f t="shared" si="1"/>
        <v>152.03086112493779</v>
      </c>
      <c r="G30" s="587"/>
      <c r="H30" s="236"/>
      <c r="I30" s="236"/>
      <c r="J30" s="236"/>
      <c r="K30" s="236"/>
      <c r="L30" s="236"/>
      <c r="M30" s="236"/>
      <c r="N30" s="576"/>
      <c r="O30" s="576"/>
      <c r="P30" s="239"/>
      <c r="Q30" s="239"/>
      <c r="R30" s="239"/>
      <c r="S30" s="239"/>
      <c r="T30" s="239"/>
      <c r="U30" s="239"/>
      <c r="V30" s="239"/>
      <c r="W30" s="239"/>
      <c r="X30" s="239"/>
    </row>
    <row r="31" spans="1:24" ht="36" customHeight="1">
      <c r="A31" s="67" t="s">
        <v>192</v>
      </c>
      <c r="B31" s="365">
        <f t="shared" si="2"/>
        <v>6261.3095238095229</v>
      </c>
      <c r="C31" s="365">
        <f t="shared" si="2"/>
        <v>8145.0595238095239</v>
      </c>
      <c r="D31" s="586">
        <f t="shared" si="0"/>
        <v>1883.7500000000009</v>
      </c>
      <c r="E31" s="586"/>
      <c r="F31" s="586">
        <f t="shared" si="1"/>
        <v>130.08555946382739</v>
      </c>
      <c r="G31" s="587"/>
      <c r="H31" s="236"/>
      <c r="I31" s="236"/>
      <c r="J31" s="236"/>
      <c r="K31" s="236"/>
      <c r="L31" s="236"/>
      <c r="M31" s="236"/>
      <c r="N31" s="576"/>
      <c r="O31" s="576"/>
      <c r="P31" s="239"/>
      <c r="Q31" s="239"/>
      <c r="R31" s="239"/>
      <c r="S31" s="239"/>
      <c r="T31" s="239"/>
      <c r="U31" s="239"/>
      <c r="V31" s="239"/>
      <c r="W31" s="239"/>
      <c r="X31" s="239"/>
    </row>
    <row r="32" spans="1:24">
      <c r="A32" s="67" t="s">
        <v>182</v>
      </c>
      <c r="B32" s="365">
        <f t="shared" si="2"/>
        <v>6934.7222222222235</v>
      </c>
      <c r="C32" s="365">
        <f t="shared" si="2"/>
        <v>7913.5555555555547</v>
      </c>
      <c r="D32" s="586">
        <f>C32-B32</f>
        <v>978.83333333333121</v>
      </c>
      <c r="E32" s="586"/>
      <c r="F32" s="586">
        <f t="shared" si="1"/>
        <v>114.11496094532343</v>
      </c>
      <c r="G32" s="587"/>
      <c r="H32" s="236"/>
      <c r="I32" s="236"/>
      <c r="J32" s="236"/>
      <c r="K32" s="236"/>
      <c r="L32" s="236"/>
      <c r="M32" s="236"/>
      <c r="N32" s="576"/>
      <c r="O32" s="576"/>
      <c r="P32" s="239"/>
      <c r="Q32" s="239"/>
      <c r="R32" s="239"/>
      <c r="S32" s="239"/>
      <c r="T32" s="239"/>
      <c r="U32" s="239"/>
      <c r="V32" s="239"/>
      <c r="W32" s="239"/>
      <c r="X32" s="239"/>
    </row>
    <row r="33" spans="1:24">
      <c r="A33" s="172"/>
      <c r="B33" s="366"/>
      <c r="C33" s="366"/>
      <c r="D33" s="367"/>
      <c r="E33" s="367"/>
      <c r="F33" s="224"/>
      <c r="G33" s="368"/>
      <c r="H33" s="201"/>
      <c r="I33" s="201"/>
      <c r="J33" s="71"/>
      <c r="K33" s="71"/>
      <c r="L33" s="236"/>
      <c r="M33" s="236"/>
      <c r="N33" s="236"/>
      <c r="O33" s="236"/>
      <c r="P33" s="239"/>
      <c r="Q33" s="239"/>
      <c r="R33" s="239"/>
      <c r="S33" s="239"/>
      <c r="T33" s="239"/>
      <c r="U33" s="239"/>
      <c r="V33" s="239"/>
      <c r="W33" s="239"/>
      <c r="X33" s="239"/>
    </row>
    <row r="34" spans="1:24" ht="31.5" customHeight="1">
      <c r="A34" s="588" t="s">
        <v>488</v>
      </c>
      <c r="B34" s="589"/>
      <c r="C34" s="589"/>
      <c r="D34" s="589"/>
      <c r="E34" s="589"/>
      <c r="F34" s="589"/>
      <c r="G34" s="589"/>
      <c r="H34" s="589"/>
      <c r="I34" s="72"/>
      <c r="J34" s="72"/>
      <c r="K34" s="72"/>
      <c r="L34" s="72"/>
    </row>
    <row r="35" spans="1:24" ht="30">
      <c r="A35" s="590" t="s">
        <v>183</v>
      </c>
      <c r="B35" s="591" t="s">
        <v>489</v>
      </c>
      <c r="C35" s="591"/>
      <c r="D35" s="591" t="s">
        <v>490</v>
      </c>
      <c r="E35" s="591"/>
      <c r="F35" s="591" t="s">
        <v>491</v>
      </c>
      <c r="G35" s="591"/>
      <c r="H35" s="369" t="s">
        <v>492</v>
      </c>
      <c r="I35" s="72"/>
      <c r="J35" s="72"/>
      <c r="K35" s="72"/>
      <c r="L35" s="72"/>
      <c r="M35" s="40"/>
      <c r="N35" s="40"/>
      <c r="O35" s="40"/>
    </row>
    <row r="36" spans="1:24" ht="166.5" customHeight="1">
      <c r="A36" s="590"/>
      <c r="B36" s="369" t="s">
        <v>493</v>
      </c>
      <c r="C36" s="369" t="s">
        <v>214</v>
      </c>
      <c r="D36" s="369" t="s">
        <v>493</v>
      </c>
      <c r="E36" s="369" t="s">
        <v>494</v>
      </c>
      <c r="F36" s="369" t="s">
        <v>493</v>
      </c>
      <c r="G36" s="369" t="s">
        <v>494</v>
      </c>
      <c r="H36" s="369" t="s">
        <v>493</v>
      </c>
      <c r="I36" s="72"/>
      <c r="J36" s="72"/>
      <c r="K36" s="72"/>
      <c r="L36" s="72"/>
      <c r="M36" s="40"/>
      <c r="N36" s="40"/>
      <c r="O36" s="40"/>
    </row>
    <row r="37" spans="1:24">
      <c r="A37" s="235">
        <v>1</v>
      </c>
      <c r="B37" s="235">
        <v>2</v>
      </c>
      <c r="C37" s="235">
        <v>3</v>
      </c>
      <c r="D37" s="235">
        <v>4</v>
      </c>
      <c r="E37" s="235">
        <v>5</v>
      </c>
      <c r="F37" s="235">
        <v>6</v>
      </c>
      <c r="G37" s="112">
        <v>7</v>
      </c>
      <c r="H37" s="112">
        <v>8</v>
      </c>
      <c r="I37" s="72"/>
      <c r="J37" s="72"/>
      <c r="K37" s="72"/>
      <c r="L37" s="72"/>
      <c r="M37" s="21"/>
      <c r="N37" s="21"/>
      <c r="O37" s="21"/>
    </row>
    <row r="38" spans="1:24">
      <c r="A38" s="67" t="s">
        <v>296</v>
      </c>
      <c r="B38" s="94">
        <f>'1.Фінансовий результат'!C13</f>
        <v>7495.3</v>
      </c>
      <c r="C38" s="94"/>
      <c r="D38" s="94">
        <f>'1.Фінансовий результат'!D13</f>
        <v>8705.4000000000015</v>
      </c>
      <c r="E38" s="94"/>
      <c r="F38" s="94">
        <f>D38-B38</f>
        <v>1210.1000000000013</v>
      </c>
      <c r="G38" s="94"/>
      <c r="H38" s="94">
        <f>D38/B38*100</f>
        <v>116.14478406468054</v>
      </c>
      <c r="I38" s="72"/>
      <c r="J38" s="72"/>
      <c r="K38" s="72"/>
      <c r="L38" s="72"/>
      <c r="M38" s="71"/>
      <c r="N38" s="236"/>
      <c r="O38" s="71"/>
    </row>
    <row r="39" spans="1:24">
      <c r="A39" s="67"/>
      <c r="B39" s="94"/>
      <c r="C39" s="94"/>
      <c r="D39" s="58"/>
      <c r="E39" s="58"/>
      <c r="F39" s="58"/>
      <c r="G39" s="58"/>
      <c r="H39" s="58"/>
      <c r="I39" s="72"/>
      <c r="J39" s="72"/>
      <c r="K39" s="72"/>
      <c r="L39" s="72"/>
      <c r="M39" s="71"/>
      <c r="N39" s="71"/>
      <c r="O39" s="71"/>
    </row>
    <row r="40" spans="1:24">
      <c r="A40" s="113" t="s">
        <v>40</v>
      </c>
      <c r="B40" s="122">
        <f>B38</f>
        <v>7495.3</v>
      </c>
      <c r="C40" s="122"/>
      <c r="D40" s="122">
        <f>D38</f>
        <v>8705.4000000000015</v>
      </c>
      <c r="E40" s="122"/>
      <c r="F40" s="122">
        <f>F38</f>
        <v>1210.1000000000013</v>
      </c>
      <c r="G40" s="122"/>
      <c r="H40" s="122">
        <f>H38</f>
        <v>116.14478406468054</v>
      </c>
      <c r="I40" s="72"/>
      <c r="J40" s="72"/>
      <c r="K40" s="72"/>
      <c r="L40" s="72"/>
      <c r="M40" s="72"/>
      <c r="N40" s="72"/>
      <c r="O40" s="72"/>
    </row>
    <row r="41" spans="1:24">
      <c r="A41" s="18"/>
      <c r="B41" s="19"/>
      <c r="C41" s="19"/>
      <c r="D41" s="19"/>
      <c r="E41" s="19"/>
      <c r="F41" s="233"/>
      <c r="G41" s="233"/>
      <c r="H41" s="40"/>
      <c r="I41" s="5"/>
      <c r="J41" s="5"/>
      <c r="K41" s="5"/>
      <c r="L41" s="5"/>
      <c r="M41" s="5"/>
      <c r="N41" s="5"/>
      <c r="O41" s="5"/>
    </row>
    <row r="42" spans="1:24">
      <c r="A42" s="592" t="s">
        <v>495</v>
      </c>
      <c r="B42" s="593"/>
      <c r="C42" s="593"/>
      <c r="D42" s="593"/>
      <c r="E42" s="593"/>
      <c r="F42" s="593"/>
      <c r="G42" s="593"/>
      <c r="H42" s="40"/>
      <c r="I42" s="5"/>
      <c r="J42" s="5"/>
      <c r="K42" s="5"/>
      <c r="L42" s="5"/>
      <c r="M42" s="5"/>
      <c r="N42" s="5"/>
      <c r="O42" s="5"/>
    </row>
    <row r="43" spans="1:24" ht="88.5" customHeight="1">
      <c r="A43" s="235" t="s">
        <v>99</v>
      </c>
      <c r="B43" s="361" t="s">
        <v>54</v>
      </c>
      <c r="C43" s="361" t="s">
        <v>235</v>
      </c>
      <c r="D43" s="361" t="s">
        <v>51</v>
      </c>
      <c r="E43" s="361" t="s">
        <v>215</v>
      </c>
      <c r="F43" s="361" t="s">
        <v>65</v>
      </c>
      <c r="G43" s="361" t="s">
        <v>19</v>
      </c>
      <c r="H43" s="40"/>
      <c r="I43" s="40"/>
      <c r="J43" s="40"/>
      <c r="K43" s="40"/>
      <c r="L43" s="40"/>
      <c r="M43" s="40"/>
      <c r="N43" s="40"/>
      <c r="O43" s="40"/>
    </row>
    <row r="44" spans="1:24">
      <c r="A44" s="112">
        <v>1</v>
      </c>
      <c r="B44" s="112">
        <v>2</v>
      </c>
      <c r="C44" s="112">
        <v>3</v>
      </c>
      <c r="D44" s="112">
        <v>4</v>
      </c>
      <c r="E44" s="112">
        <v>5</v>
      </c>
      <c r="F44" s="370">
        <v>6</v>
      </c>
      <c r="G44" s="112">
        <v>7</v>
      </c>
      <c r="H44" s="40"/>
      <c r="I44" s="40"/>
      <c r="J44" s="40"/>
      <c r="K44" s="40"/>
      <c r="L44" s="40"/>
      <c r="M44" s="21"/>
      <c r="N44" s="21"/>
      <c r="O44" s="21"/>
    </row>
    <row r="45" spans="1:24" ht="7.5" customHeight="1">
      <c r="A45" s="67"/>
      <c r="B45" s="58"/>
      <c r="C45" s="58"/>
      <c r="D45" s="58"/>
      <c r="E45" s="58"/>
      <c r="F45" s="94"/>
      <c r="G45" s="235"/>
      <c r="H45" s="40"/>
      <c r="I45" s="40"/>
      <c r="J45" s="40"/>
      <c r="K45" s="40"/>
      <c r="L45" s="40"/>
      <c r="M45" s="71"/>
      <c r="N45" s="71"/>
      <c r="O45" s="71"/>
    </row>
    <row r="46" spans="1:24">
      <c r="A46" s="67" t="s">
        <v>40</v>
      </c>
      <c r="B46" s="235" t="s">
        <v>20</v>
      </c>
      <c r="C46" s="235"/>
      <c r="D46" s="235" t="s">
        <v>20</v>
      </c>
      <c r="E46" s="235" t="s">
        <v>20</v>
      </c>
      <c r="F46" s="235"/>
      <c r="G46" s="235" t="s">
        <v>20</v>
      </c>
      <c r="H46" s="40"/>
      <c r="I46" s="40"/>
      <c r="J46" s="40"/>
      <c r="K46" s="40"/>
      <c r="L46" s="40"/>
      <c r="M46" s="71"/>
      <c r="N46" s="71"/>
      <c r="O46" s="71"/>
    </row>
    <row r="47" spans="1:24">
      <c r="A47" s="421"/>
      <c r="B47" s="421"/>
      <c r="C47" s="421"/>
      <c r="D47" s="421"/>
      <c r="E47" s="421"/>
      <c r="F47" s="421"/>
      <c r="G47" s="421"/>
      <c r="H47" s="40"/>
      <c r="I47" s="40"/>
      <c r="J47" s="40"/>
      <c r="K47" s="40"/>
      <c r="L47" s="40"/>
      <c r="M47" s="239"/>
      <c r="N47" s="239"/>
      <c r="O47" s="239"/>
    </row>
    <row r="48" spans="1:24">
      <c r="A48" s="594" t="s">
        <v>233</v>
      </c>
      <c r="B48" s="595"/>
      <c r="C48" s="595"/>
      <c r="D48" s="595"/>
      <c r="E48" s="595"/>
      <c r="F48" s="595"/>
      <c r="G48" s="595"/>
      <c r="H48" s="40"/>
      <c r="I48" s="40"/>
      <c r="J48" s="40"/>
      <c r="K48" s="40"/>
      <c r="L48" s="40"/>
      <c r="M48" s="5"/>
      <c r="N48" s="5"/>
      <c r="O48" s="5"/>
    </row>
    <row r="49" spans="1:24">
      <c r="A49" s="581" t="s">
        <v>50</v>
      </c>
      <c r="B49" s="571" t="s">
        <v>496</v>
      </c>
      <c r="C49" s="571" t="s">
        <v>497</v>
      </c>
      <c r="D49" s="571"/>
      <c r="E49" s="596" t="s">
        <v>498</v>
      </c>
      <c r="F49" s="596"/>
      <c r="G49" s="571" t="s">
        <v>499</v>
      </c>
      <c r="H49" s="40"/>
      <c r="I49" s="40"/>
      <c r="J49" s="40"/>
      <c r="K49" s="40"/>
      <c r="L49" s="40"/>
      <c r="M49" s="40"/>
      <c r="N49" s="40"/>
      <c r="O49" s="40"/>
    </row>
    <row r="50" spans="1:24" ht="60.75" customHeight="1">
      <c r="A50" s="582"/>
      <c r="B50" s="579"/>
      <c r="C50" s="361" t="s">
        <v>500</v>
      </c>
      <c r="D50" s="371" t="s">
        <v>415</v>
      </c>
      <c r="E50" s="372" t="s">
        <v>500</v>
      </c>
      <c r="F50" s="371" t="s">
        <v>415</v>
      </c>
      <c r="G50" s="597"/>
      <c r="H50" s="40"/>
      <c r="I50" s="40"/>
      <c r="J50" s="40"/>
      <c r="K50" s="40"/>
      <c r="L50" s="40"/>
      <c r="M50" s="40"/>
      <c r="N50" s="40"/>
      <c r="O50" s="40"/>
    </row>
    <row r="51" spans="1:24" ht="12.75" customHeight="1">
      <c r="A51" s="235">
        <v>1</v>
      </c>
      <c r="B51" s="235">
        <v>2</v>
      </c>
      <c r="C51" s="235">
        <v>3</v>
      </c>
      <c r="D51" s="112">
        <v>4</v>
      </c>
      <c r="E51" s="373">
        <v>5</v>
      </c>
      <c r="F51" s="112">
        <v>6</v>
      </c>
      <c r="G51" s="112">
        <v>7</v>
      </c>
      <c r="H51" s="21"/>
      <c r="I51" s="21"/>
      <c r="J51" s="21"/>
      <c r="K51" s="21"/>
      <c r="L51" s="21"/>
      <c r="M51" s="21"/>
      <c r="N51" s="21"/>
      <c r="O51" s="21"/>
    </row>
    <row r="52" spans="1:24" ht="34.5" customHeight="1">
      <c r="A52" s="67" t="s">
        <v>216</v>
      </c>
      <c r="B52" s="67"/>
      <c r="C52" s="67"/>
      <c r="D52" s="370"/>
      <c r="E52" s="374"/>
      <c r="F52" s="370"/>
      <c r="G52" s="370"/>
      <c r="H52" s="71"/>
      <c r="I52" s="71"/>
      <c r="J52" s="71"/>
      <c r="K52" s="71"/>
      <c r="L52" s="71"/>
      <c r="M52" s="71"/>
      <c r="N52" s="71"/>
      <c r="O52" s="71"/>
    </row>
    <row r="53" spans="1:24">
      <c r="A53" s="67" t="s">
        <v>79</v>
      </c>
      <c r="B53" s="67"/>
      <c r="C53" s="67"/>
      <c r="D53" s="370"/>
      <c r="E53" s="374"/>
      <c r="F53" s="370"/>
      <c r="G53" s="370"/>
      <c r="H53" s="71"/>
      <c r="I53" s="71"/>
      <c r="J53" s="71"/>
      <c r="K53" s="71"/>
      <c r="L53" s="71"/>
      <c r="M53" s="71"/>
      <c r="N53" s="71"/>
      <c r="O53" s="71"/>
    </row>
    <row r="54" spans="1:24" ht="7.5" customHeight="1">
      <c r="A54" s="67"/>
      <c r="B54" s="67"/>
      <c r="C54" s="67"/>
      <c r="D54" s="370"/>
      <c r="E54" s="374"/>
      <c r="F54" s="370"/>
      <c r="G54" s="370"/>
      <c r="H54" s="71"/>
      <c r="I54" s="71"/>
      <c r="J54" s="71"/>
      <c r="K54" s="71"/>
      <c r="L54" s="71"/>
      <c r="M54" s="71"/>
      <c r="N54" s="71"/>
      <c r="O54" s="71"/>
    </row>
    <row r="55" spans="1:24" ht="30.75" customHeight="1">
      <c r="A55" s="67" t="s">
        <v>217</v>
      </c>
      <c r="B55" s="67"/>
      <c r="C55" s="67"/>
      <c r="D55" s="370"/>
      <c r="E55" s="374"/>
      <c r="F55" s="370"/>
      <c r="G55" s="370"/>
      <c r="H55" s="71"/>
      <c r="I55" s="71"/>
      <c r="J55" s="71"/>
      <c r="K55" s="71"/>
      <c r="L55" s="71"/>
      <c r="M55" s="71"/>
      <c r="N55" s="71"/>
      <c r="O55" s="71"/>
    </row>
    <row r="56" spans="1:24" ht="8.25" customHeight="1">
      <c r="A56" s="67"/>
      <c r="B56" s="67"/>
      <c r="C56" s="67"/>
      <c r="D56" s="370"/>
      <c r="E56" s="374"/>
      <c r="F56" s="370"/>
      <c r="G56" s="370"/>
      <c r="H56" s="71"/>
      <c r="I56" s="71"/>
      <c r="J56" s="71"/>
      <c r="K56" s="71"/>
      <c r="L56" s="71"/>
      <c r="M56" s="71"/>
      <c r="N56" s="71"/>
      <c r="O56" s="71"/>
    </row>
    <row r="57" spans="1:24">
      <c r="A57" s="67" t="s">
        <v>501</v>
      </c>
      <c r="B57" s="67"/>
      <c r="C57" s="67"/>
      <c r="D57" s="370"/>
      <c r="E57" s="374"/>
      <c r="F57" s="370"/>
      <c r="G57" s="370"/>
      <c r="H57" s="71"/>
      <c r="I57" s="71"/>
      <c r="J57" s="71"/>
      <c r="K57" s="71"/>
      <c r="L57" s="71"/>
      <c r="M57" s="71"/>
      <c r="N57" s="71"/>
      <c r="O57" s="71"/>
    </row>
    <row r="58" spans="1:24">
      <c r="A58" s="604" t="s">
        <v>502</v>
      </c>
      <c r="B58" s="605"/>
      <c r="C58" s="605"/>
      <c r="D58" s="605"/>
      <c r="E58" s="605"/>
      <c r="F58" s="605"/>
      <c r="G58" s="605"/>
      <c r="H58" s="605"/>
      <c r="I58" s="605"/>
      <c r="J58" s="605"/>
      <c r="K58" s="605"/>
      <c r="L58" s="605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</row>
    <row r="59" spans="1:24">
      <c r="A59" s="606" t="s">
        <v>35</v>
      </c>
      <c r="B59" s="570" t="s">
        <v>145</v>
      </c>
      <c r="C59" s="571" t="s">
        <v>146</v>
      </c>
      <c r="D59" s="571" t="s">
        <v>223</v>
      </c>
      <c r="E59" s="607" t="s">
        <v>147</v>
      </c>
      <c r="F59" s="608"/>
      <c r="G59" s="611" t="s">
        <v>236</v>
      </c>
      <c r="H59" s="612"/>
      <c r="I59" s="612"/>
      <c r="J59" s="612"/>
      <c r="K59" s="612"/>
      <c r="L59" s="613"/>
      <c r="M59" s="40"/>
      <c r="N59" s="40"/>
      <c r="O59" s="40"/>
      <c r="P59" s="40"/>
      <c r="Q59" s="21"/>
      <c r="R59" s="21"/>
      <c r="S59" s="21"/>
      <c r="T59" s="21"/>
      <c r="U59" s="21"/>
      <c r="V59" s="21"/>
      <c r="W59" s="21"/>
      <c r="X59" s="21"/>
    </row>
    <row r="60" spans="1:24" ht="68.25" customHeight="1">
      <c r="A60" s="606"/>
      <c r="B60" s="570"/>
      <c r="C60" s="579"/>
      <c r="D60" s="579"/>
      <c r="E60" s="609"/>
      <c r="F60" s="610"/>
      <c r="G60" s="596" t="s">
        <v>148</v>
      </c>
      <c r="H60" s="596"/>
      <c r="I60" s="375" t="s">
        <v>503</v>
      </c>
      <c r="J60" s="361" t="s">
        <v>504</v>
      </c>
      <c r="K60" s="361" t="s">
        <v>150</v>
      </c>
      <c r="L60" s="361" t="s">
        <v>151</v>
      </c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</row>
    <row r="61" spans="1:24" ht="15.75">
      <c r="A61" s="234">
        <v>1</v>
      </c>
      <c r="B61" s="234">
        <v>2</v>
      </c>
      <c r="C61" s="235">
        <v>3</v>
      </c>
      <c r="D61" s="235">
        <v>4</v>
      </c>
      <c r="E61" s="598">
        <v>5</v>
      </c>
      <c r="F61" s="599"/>
      <c r="G61" s="581">
        <v>6</v>
      </c>
      <c r="H61" s="581"/>
      <c r="I61" s="235">
        <v>7</v>
      </c>
      <c r="J61" s="235">
        <v>8</v>
      </c>
      <c r="K61" s="235">
        <v>9</v>
      </c>
      <c r="L61" s="235">
        <v>10</v>
      </c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221"/>
      <c r="X61" s="221"/>
    </row>
    <row r="62" spans="1:24" ht="37.5" hidden="1" customHeight="1" outlineLevel="1">
      <c r="A62" s="376" t="s">
        <v>516</v>
      </c>
      <c r="B62" s="377" t="s">
        <v>505</v>
      </c>
      <c r="C62" s="299" t="s">
        <v>332</v>
      </c>
      <c r="D62" s="235" t="s">
        <v>297</v>
      </c>
      <c r="E62" s="598">
        <f>SUM(G62:L62)</f>
        <v>39.975000000000001</v>
      </c>
      <c r="F62" s="599"/>
      <c r="G62" s="600">
        <f>'5.1. Інша інформація'!I73/4</f>
        <v>35.975000000000001</v>
      </c>
      <c r="H62" s="600"/>
      <c r="I62" s="96">
        <f>'5.1. Інша інформація'!K73/4</f>
        <v>3</v>
      </c>
      <c r="J62" s="96">
        <f>'5.1. Інша інформація'!L73/4</f>
        <v>0.65</v>
      </c>
      <c r="K62" s="96">
        <f>'5.1. Інша інформація'!M73/4</f>
        <v>0.35</v>
      </c>
      <c r="L62" s="96">
        <f>'5.1. Інша інформація'!N73/4</f>
        <v>0</v>
      </c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</row>
    <row r="63" spans="1:24" ht="63.75" customHeight="1" collapsed="1">
      <c r="A63" s="376" t="s">
        <v>535</v>
      </c>
      <c r="B63" s="377" t="s">
        <v>505</v>
      </c>
      <c r="C63" s="299" t="s">
        <v>332</v>
      </c>
      <c r="D63" s="235" t="s">
        <v>297</v>
      </c>
      <c r="E63" s="601">
        <f>SUM(G63:L63)</f>
        <v>102.10000000000001</v>
      </c>
      <c r="F63" s="602"/>
      <c r="G63" s="603">
        <f>91.6-0.1</f>
        <v>91.5</v>
      </c>
      <c r="H63" s="603"/>
      <c r="I63" s="426">
        <v>8.6999999999999993</v>
      </c>
      <c r="J63" s="426">
        <v>1.9</v>
      </c>
      <c r="K63" s="426">
        <v>0</v>
      </c>
      <c r="L63" s="426"/>
      <c r="M63" s="367"/>
      <c r="N63" s="367"/>
      <c r="O63" s="367"/>
      <c r="Q63" s="367">
        <v>79.95</v>
      </c>
      <c r="R63" s="367">
        <v>71.95</v>
      </c>
      <c r="S63" s="367">
        <v>6</v>
      </c>
      <c r="T63" s="367">
        <v>1.3</v>
      </c>
      <c r="U63" s="367">
        <v>0.7</v>
      </c>
      <c r="V63" s="367"/>
      <c r="W63" s="367"/>
      <c r="X63" s="367"/>
    </row>
    <row r="64" spans="1:24">
      <c r="A64" s="604" t="s">
        <v>506</v>
      </c>
      <c r="B64" s="605"/>
      <c r="C64" s="605"/>
      <c r="D64" s="605"/>
      <c r="E64" s="605"/>
      <c r="F64" s="605"/>
      <c r="G64" s="605"/>
      <c r="H64" s="605"/>
      <c r="I64" s="605"/>
      <c r="J64" s="605"/>
      <c r="K64" s="605"/>
      <c r="L64" s="605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</row>
    <row r="65" spans="1:24">
      <c r="A65" s="606" t="s">
        <v>35</v>
      </c>
      <c r="B65" s="606" t="s">
        <v>152</v>
      </c>
      <c r="C65" s="581" t="s">
        <v>145</v>
      </c>
      <c r="D65" s="581" t="s">
        <v>223</v>
      </c>
      <c r="E65" s="581" t="s">
        <v>153</v>
      </c>
      <c r="F65" s="581" t="s">
        <v>154</v>
      </c>
      <c r="G65" s="581"/>
      <c r="H65" s="581"/>
      <c r="I65" s="581"/>
      <c r="J65" s="581"/>
      <c r="K65" s="581"/>
      <c r="L65" s="581"/>
      <c r="M65" s="40"/>
      <c r="N65" s="40"/>
      <c r="O65" s="40"/>
      <c r="P65" s="40"/>
      <c r="Q65" s="40"/>
      <c r="R65" s="40"/>
      <c r="S65" s="40"/>
      <c r="T65" s="40"/>
      <c r="U65" s="40"/>
      <c r="V65" s="21"/>
      <c r="W65" s="21"/>
      <c r="X65" s="21"/>
    </row>
    <row r="66" spans="1:24">
      <c r="A66" s="606"/>
      <c r="B66" s="606"/>
      <c r="C66" s="582"/>
      <c r="D66" s="582"/>
      <c r="E66" s="582"/>
      <c r="F66" s="581" t="s">
        <v>155</v>
      </c>
      <c r="G66" s="620" t="s">
        <v>500</v>
      </c>
      <c r="H66" s="621"/>
      <c r="I66" s="622"/>
      <c r="J66" s="581" t="s">
        <v>415</v>
      </c>
      <c r="K66" s="581" t="s">
        <v>416</v>
      </c>
      <c r="L66" s="581" t="s">
        <v>418</v>
      </c>
      <c r="M66" s="40"/>
      <c r="N66" s="40"/>
      <c r="O66" s="40"/>
      <c r="P66" s="40"/>
      <c r="Q66" s="40"/>
      <c r="R66" s="40"/>
      <c r="S66" s="40"/>
      <c r="T66" s="40"/>
      <c r="U66" s="40"/>
      <c r="V66" s="21"/>
      <c r="W66" s="21"/>
      <c r="X66" s="21"/>
    </row>
    <row r="67" spans="1:24">
      <c r="A67" s="606"/>
      <c r="B67" s="606"/>
      <c r="C67" s="582"/>
      <c r="D67" s="582"/>
      <c r="E67" s="582"/>
      <c r="F67" s="582"/>
      <c r="G67" s="623"/>
      <c r="H67" s="624"/>
      <c r="I67" s="625"/>
      <c r="J67" s="582"/>
      <c r="K67" s="582"/>
      <c r="L67" s="582"/>
      <c r="M67" s="40"/>
      <c r="N67" s="40"/>
      <c r="O67" s="40"/>
      <c r="P67" s="40"/>
      <c r="Q67" s="40"/>
      <c r="R67" s="40"/>
      <c r="S67" s="40"/>
      <c r="T67" s="40"/>
      <c r="U67" s="40"/>
      <c r="V67" s="21"/>
      <c r="W67" s="21"/>
      <c r="X67" s="21"/>
    </row>
    <row r="68" spans="1:24" ht="15.75">
      <c r="A68" s="234">
        <v>1</v>
      </c>
      <c r="B68" s="234">
        <v>2</v>
      </c>
      <c r="C68" s="235">
        <v>3</v>
      </c>
      <c r="D68" s="235">
        <v>4</v>
      </c>
      <c r="E68" s="235">
        <v>5</v>
      </c>
      <c r="F68" s="235">
        <v>6</v>
      </c>
      <c r="G68" s="598">
        <v>7</v>
      </c>
      <c r="H68" s="614"/>
      <c r="I68" s="599"/>
      <c r="J68" s="235">
        <v>8</v>
      </c>
      <c r="K68" s="235">
        <v>9</v>
      </c>
      <c r="L68" s="235">
        <v>10</v>
      </c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221"/>
    </row>
    <row r="69" spans="1:24" ht="15.75">
      <c r="A69" s="378"/>
      <c r="B69" s="376"/>
      <c r="C69" s="67"/>
      <c r="D69" s="67"/>
      <c r="E69" s="67"/>
      <c r="F69" s="379"/>
      <c r="G69" s="615"/>
      <c r="H69" s="616"/>
      <c r="I69" s="617"/>
      <c r="J69" s="379"/>
      <c r="K69" s="379"/>
      <c r="L69" s="379"/>
      <c r="M69" s="74"/>
      <c r="N69" s="74"/>
      <c r="O69" s="74"/>
      <c r="P69" s="74"/>
      <c r="Q69" s="380"/>
      <c r="R69" s="380"/>
      <c r="S69" s="380"/>
      <c r="T69" s="380"/>
      <c r="U69" s="380"/>
      <c r="V69" s="367"/>
      <c r="W69" s="367"/>
      <c r="X69" s="367"/>
    </row>
    <row r="70" spans="1:24" ht="15.75">
      <c r="A70" s="378"/>
      <c r="B70" s="376"/>
      <c r="C70" s="67"/>
      <c r="D70" s="67"/>
      <c r="E70" s="67"/>
      <c r="F70" s="379"/>
      <c r="G70" s="618"/>
      <c r="H70" s="618"/>
      <c r="I70" s="618"/>
      <c r="J70" s="379"/>
      <c r="K70" s="379"/>
      <c r="L70" s="379"/>
      <c r="M70" s="74"/>
      <c r="N70" s="74"/>
      <c r="O70" s="74"/>
      <c r="P70" s="74"/>
      <c r="Q70" s="380"/>
      <c r="R70" s="380"/>
      <c r="S70" s="380"/>
      <c r="T70" s="380"/>
      <c r="U70" s="380"/>
      <c r="V70" s="367"/>
      <c r="W70" s="367"/>
      <c r="X70" s="367"/>
    </row>
    <row r="71" spans="1:24" ht="15.75">
      <c r="A71" s="619" t="s">
        <v>234</v>
      </c>
      <c r="B71" s="619"/>
      <c r="C71" s="619"/>
      <c r="D71" s="619"/>
      <c r="E71" s="619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  <c r="Q71" s="381"/>
      <c r="R71" s="381"/>
      <c r="S71" s="381"/>
      <c r="T71" s="381"/>
      <c r="U71" s="381"/>
      <c r="V71" s="381"/>
      <c r="W71" s="381"/>
      <c r="X71" s="381"/>
    </row>
    <row r="72" spans="1:24" ht="18.75" customHeight="1">
      <c r="A72" s="581" t="s">
        <v>35</v>
      </c>
      <c r="B72" s="581" t="s">
        <v>173</v>
      </c>
      <c r="C72" s="581"/>
      <c r="D72" s="581"/>
      <c r="E72" s="650" t="s">
        <v>39</v>
      </c>
      <c r="F72" s="651"/>
      <c r="G72" s="651"/>
      <c r="H72" s="652"/>
      <c r="I72" s="650" t="s">
        <v>67</v>
      </c>
      <c r="J72" s="651"/>
      <c r="K72" s="651"/>
      <c r="L72" s="652"/>
      <c r="M72" s="626" t="s">
        <v>197</v>
      </c>
      <c r="N72" s="626"/>
      <c r="O72" s="626"/>
      <c r="P72" s="626"/>
      <c r="Q72" s="626" t="s">
        <v>100</v>
      </c>
      <c r="R72" s="626"/>
      <c r="S72" s="626"/>
      <c r="T72" s="626"/>
      <c r="U72" s="626" t="s">
        <v>40</v>
      </c>
      <c r="V72" s="626"/>
      <c r="W72" s="626"/>
      <c r="X72" s="626"/>
    </row>
    <row r="73" spans="1:24" ht="47.25">
      <c r="A73" s="630"/>
      <c r="B73" s="581"/>
      <c r="C73" s="581"/>
      <c r="D73" s="581"/>
      <c r="E73" s="396" t="s">
        <v>500</v>
      </c>
      <c r="F73" s="361" t="s">
        <v>413</v>
      </c>
      <c r="G73" s="361" t="s">
        <v>507</v>
      </c>
      <c r="H73" s="361" t="s">
        <v>418</v>
      </c>
      <c r="I73" s="394" t="s">
        <v>500</v>
      </c>
      <c r="J73" s="375" t="s">
        <v>415</v>
      </c>
      <c r="K73" s="361" t="s">
        <v>507</v>
      </c>
      <c r="L73" s="361" t="s">
        <v>418</v>
      </c>
      <c r="M73" s="361" t="s">
        <v>500</v>
      </c>
      <c r="N73" s="375" t="s">
        <v>415</v>
      </c>
      <c r="O73" s="361" t="s">
        <v>507</v>
      </c>
      <c r="P73" s="361" t="s">
        <v>418</v>
      </c>
      <c r="Q73" s="361" t="s">
        <v>500</v>
      </c>
      <c r="R73" s="375" t="s">
        <v>415</v>
      </c>
      <c r="S73" s="361" t="s">
        <v>507</v>
      </c>
      <c r="T73" s="361" t="s">
        <v>418</v>
      </c>
      <c r="U73" s="361" t="s">
        <v>500</v>
      </c>
      <c r="V73" s="375" t="s">
        <v>415</v>
      </c>
      <c r="W73" s="361" t="s">
        <v>507</v>
      </c>
      <c r="X73" s="361" t="s">
        <v>418</v>
      </c>
    </row>
    <row r="74" spans="1:24" ht="18.75" customHeight="1">
      <c r="A74" s="235">
        <v>1</v>
      </c>
      <c r="B74" s="581">
        <v>2</v>
      </c>
      <c r="C74" s="581"/>
      <c r="D74" s="581"/>
      <c r="E74" s="140">
        <v>3</v>
      </c>
      <c r="F74" s="241">
        <v>4</v>
      </c>
      <c r="G74" s="241">
        <v>5</v>
      </c>
      <c r="H74" s="241">
        <v>6</v>
      </c>
      <c r="I74" s="395">
        <v>7</v>
      </c>
      <c r="J74" s="241">
        <v>8</v>
      </c>
      <c r="K74" s="241">
        <v>9</v>
      </c>
      <c r="L74" s="241">
        <v>10</v>
      </c>
      <c r="M74" s="235">
        <v>11</v>
      </c>
      <c r="N74" s="235">
        <v>12</v>
      </c>
      <c r="O74" s="235">
        <v>13</v>
      </c>
      <c r="P74" s="235">
        <v>14</v>
      </c>
      <c r="Q74" s="235">
        <v>15</v>
      </c>
      <c r="R74" s="235">
        <v>16</v>
      </c>
      <c r="S74" s="235">
        <v>17</v>
      </c>
      <c r="T74" s="235">
        <v>18</v>
      </c>
      <c r="U74" s="235">
        <v>19</v>
      </c>
      <c r="V74" s="112">
        <v>20</v>
      </c>
      <c r="W74" s="112">
        <v>21</v>
      </c>
      <c r="X74" s="112">
        <v>22</v>
      </c>
    </row>
    <row r="75" spans="1:24" ht="37.5" customHeight="1">
      <c r="A75" s="288" t="s">
        <v>508</v>
      </c>
      <c r="B75" s="637" t="s">
        <v>444</v>
      </c>
      <c r="C75" s="637"/>
      <c r="D75" s="637"/>
      <c r="E75" s="397">
        <f>E76+E77+E78+E79</f>
        <v>0</v>
      </c>
      <c r="F75" s="397">
        <f>F76+F77+F78+F79</f>
        <v>0</v>
      </c>
      <c r="G75" s="382">
        <f>F75-E75</f>
        <v>0</v>
      </c>
      <c r="H75" s="446" t="e">
        <f>E75/D75*100</f>
        <v>#DIV/0!</v>
      </c>
      <c r="I75" s="397">
        <f>I76+I77+I78+I79+I80</f>
        <v>2124.9</v>
      </c>
      <c r="J75" s="397">
        <f>J76+J77+J78+J79+J80</f>
        <v>4218.8999999999996</v>
      </c>
      <c r="K75" s="382">
        <f>J75-I75</f>
        <v>2093.9999999999995</v>
      </c>
      <c r="L75" s="460">
        <f>J75/I75*100</f>
        <v>198.54581392065506</v>
      </c>
      <c r="M75" s="397">
        <f>M76+M77+M78+M79</f>
        <v>0</v>
      </c>
      <c r="N75" s="397">
        <f>N76+N77+N78+N79</f>
        <v>0</v>
      </c>
      <c r="O75" s="382">
        <f>N75-M75</f>
        <v>0</v>
      </c>
      <c r="P75" s="446">
        <f>M75/L75*100</f>
        <v>0</v>
      </c>
      <c r="Q75" s="397">
        <f>Q76+Q77</f>
        <v>0</v>
      </c>
      <c r="R75" s="397">
        <f>R76+R77</f>
        <v>0</v>
      </c>
      <c r="S75" s="382">
        <f>R75-Q75</f>
        <v>0</v>
      </c>
      <c r="T75" s="446" t="e">
        <f>Q75/P75*100</f>
        <v>#DIV/0!</v>
      </c>
      <c r="U75" s="397">
        <f>U76+U77+U78+U79+U80</f>
        <v>2124.9</v>
      </c>
      <c r="V75" s="397">
        <f>V76+V77+V78+V79+V80</f>
        <v>4218.8999999999996</v>
      </c>
      <c r="W75" s="382">
        <f>V75-U75</f>
        <v>2093.9999999999995</v>
      </c>
      <c r="X75" s="460">
        <f>V75/U75*100</f>
        <v>198.54581392065506</v>
      </c>
    </row>
    <row r="76" spans="1:24" ht="52.5" customHeight="1">
      <c r="A76" s="384" t="s">
        <v>518</v>
      </c>
      <c r="B76" s="638" t="s">
        <v>374</v>
      </c>
      <c r="C76" s="639"/>
      <c r="D76" s="640"/>
      <c r="E76" s="383"/>
      <c r="F76" s="384"/>
      <c r="G76" s="384"/>
      <c r="H76" s="285"/>
      <c r="I76" s="448">
        <f>'5.1. Інша інформація'!M86</f>
        <v>0</v>
      </c>
      <c r="J76" s="385">
        <v>0</v>
      </c>
      <c r="K76" s="385">
        <f>J76-I76</f>
        <v>0</v>
      </c>
      <c r="L76" s="460"/>
      <c r="M76" s="285">
        <f>'5.1. Інша інформація'!R86</f>
        <v>0</v>
      </c>
      <c r="N76" s="285">
        <v>0</v>
      </c>
      <c r="O76" s="382">
        <f t="shared" ref="O76:O77" si="3">N76-M76</f>
        <v>0</v>
      </c>
      <c r="P76" s="446" t="e">
        <f t="shared" ref="P76:P77" si="4">M76/L76*100</f>
        <v>#DIV/0!</v>
      </c>
      <c r="Q76" s="285">
        <f>'5.1. Інша інформація'!W86</f>
        <v>0</v>
      </c>
      <c r="R76" s="285"/>
      <c r="S76" s="382">
        <f t="shared" ref="S76:S77" si="5">R76-Q76</f>
        <v>0</v>
      </c>
      <c r="T76" s="446" t="e">
        <f t="shared" ref="T76:T77" si="6">Q76/P76*100</f>
        <v>#DIV/0!</v>
      </c>
      <c r="U76" s="285">
        <f>E76+I76+M76+Q76</f>
        <v>0</v>
      </c>
      <c r="V76" s="285">
        <f>F76+J76+N76+R76</f>
        <v>0</v>
      </c>
      <c r="W76" s="385">
        <f t="shared" ref="W76:W82" si="7">V76-U76</f>
        <v>0</v>
      </c>
      <c r="X76" s="460"/>
    </row>
    <row r="77" spans="1:24" ht="66.75" customHeight="1">
      <c r="A77" s="384" t="s">
        <v>519</v>
      </c>
      <c r="B77" s="638" t="s">
        <v>404</v>
      </c>
      <c r="C77" s="639"/>
      <c r="D77" s="640"/>
      <c r="E77" s="383"/>
      <c r="F77" s="384"/>
      <c r="G77" s="384"/>
      <c r="H77" s="285"/>
      <c r="I77" s="448">
        <f>'5.1. Інша інформація'!M87</f>
        <v>474.9</v>
      </c>
      <c r="J77" s="382">
        <f>'4.Кап. інвестиції'!D11</f>
        <v>474.9</v>
      </c>
      <c r="K77" s="382">
        <v>0</v>
      </c>
      <c r="L77" s="460">
        <f t="shared" ref="L77:L79" si="8">J77/I77*100</f>
        <v>100</v>
      </c>
      <c r="M77" s="285">
        <f>'5.1. Інша інформація'!R87</f>
        <v>0</v>
      </c>
      <c r="N77" s="385">
        <v>0</v>
      </c>
      <c r="O77" s="382">
        <f t="shared" si="3"/>
        <v>0</v>
      </c>
      <c r="P77" s="446">
        <f t="shared" si="4"/>
        <v>0</v>
      </c>
      <c r="Q77" s="285">
        <f>'5.1. Інша інформація'!W87</f>
        <v>0</v>
      </c>
      <c r="R77" s="285"/>
      <c r="S77" s="382">
        <f t="shared" si="5"/>
        <v>0</v>
      </c>
      <c r="T77" s="446" t="e">
        <f t="shared" si="6"/>
        <v>#DIV/0!</v>
      </c>
      <c r="U77" s="285">
        <f>E77+I77+M77+Q77</f>
        <v>474.9</v>
      </c>
      <c r="V77" s="285">
        <f>F77+J77+N77+R77</f>
        <v>474.9</v>
      </c>
      <c r="W77" s="385">
        <f t="shared" si="7"/>
        <v>0</v>
      </c>
      <c r="X77" s="460">
        <f t="shared" ref="X77:X79" si="9">V77/U77*100</f>
        <v>100</v>
      </c>
    </row>
    <row r="78" spans="1:24" ht="66.75" customHeight="1" outlineLevel="1">
      <c r="A78" s="384" t="s">
        <v>520</v>
      </c>
      <c r="B78" s="634" t="s">
        <v>405</v>
      </c>
      <c r="C78" s="635"/>
      <c r="D78" s="636"/>
      <c r="E78" s="383"/>
      <c r="F78" s="384"/>
      <c r="G78" s="384"/>
      <c r="H78" s="285"/>
      <c r="I78" s="449">
        <f>'4.Кап. інвестиції'!C12</f>
        <v>0</v>
      </c>
      <c r="J78" s="449">
        <f>'4.Кап. інвестиції'!D12</f>
        <v>0</v>
      </c>
      <c r="K78" s="382">
        <v>0</v>
      </c>
      <c r="L78" s="460"/>
      <c r="M78" s="385"/>
      <c r="N78" s="385"/>
      <c r="O78" s="385"/>
      <c r="P78" s="447"/>
      <c r="Q78" s="285"/>
      <c r="R78" s="285"/>
      <c r="S78" s="285"/>
      <c r="T78" s="417"/>
      <c r="U78" s="285">
        <f t="shared" ref="U78:U79" si="10">E78+I78+M78+Q78</f>
        <v>0</v>
      </c>
      <c r="V78" s="285">
        <f t="shared" ref="V78:V79" si="11">F78+J78+N78+R78</f>
        <v>0</v>
      </c>
      <c r="W78" s="385">
        <f t="shared" ref="W78:W79" si="12">V78-U78</f>
        <v>0</v>
      </c>
      <c r="X78" s="460"/>
    </row>
    <row r="79" spans="1:24" ht="48" customHeight="1">
      <c r="A79" s="384" t="s">
        <v>521</v>
      </c>
      <c r="B79" s="634" t="s">
        <v>409</v>
      </c>
      <c r="C79" s="635"/>
      <c r="D79" s="636"/>
      <c r="E79" s="383"/>
      <c r="F79" s="384"/>
      <c r="G79" s="384"/>
      <c r="H79" s="285"/>
      <c r="I79" s="382">
        <f>'4.Кап. інвестиції'!C13</f>
        <v>1650</v>
      </c>
      <c r="J79" s="382">
        <f>'4.Кап. інвестиції'!D13</f>
        <v>1998</v>
      </c>
      <c r="K79" s="382">
        <f>J79-I79</f>
        <v>348</v>
      </c>
      <c r="L79" s="460">
        <f t="shared" si="8"/>
        <v>121.09090909090909</v>
      </c>
      <c r="M79" s="385"/>
      <c r="N79" s="385"/>
      <c r="O79" s="385"/>
      <c r="P79" s="385"/>
      <c r="Q79" s="285"/>
      <c r="R79" s="285"/>
      <c r="S79" s="285"/>
      <c r="T79" s="285"/>
      <c r="U79" s="285">
        <f t="shared" si="10"/>
        <v>1650</v>
      </c>
      <c r="V79" s="285">
        <f t="shared" si="11"/>
        <v>1998</v>
      </c>
      <c r="W79" s="385">
        <f t="shared" si="12"/>
        <v>348</v>
      </c>
      <c r="X79" s="460">
        <f t="shared" si="9"/>
        <v>121.09090909090909</v>
      </c>
    </row>
    <row r="80" spans="1:24" ht="33" customHeight="1">
      <c r="A80" s="384" t="s">
        <v>534</v>
      </c>
      <c r="B80" s="634" t="str">
        <f>'4.Кап. інвестиції'!A14</f>
        <v>Придбання автомобіля сміттєвоза ЛІВ Міні Б</v>
      </c>
      <c r="C80" s="635"/>
      <c r="D80" s="636"/>
      <c r="E80" s="383"/>
      <c r="F80" s="384"/>
      <c r="G80" s="384"/>
      <c r="H80" s="285"/>
      <c r="I80" s="397">
        <v>0</v>
      </c>
      <c r="J80" s="382">
        <f>'4.Кап. інвестиції'!D14</f>
        <v>1746</v>
      </c>
      <c r="K80" s="382">
        <f>J80-I80</f>
        <v>1746</v>
      </c>
      <c r="L80" s="460"/>
      <c r="M80" s="385"/>
      <c r="N80" s="385"/>
      <c r="O80" s="385"/>
      <c r="P80" s="385"/>
      <c r="Q80" s="285"/>
      <c r="R80" s="285"/>
      <c r="S80" s="285"/>
      <c r="T80" s="285"/>
      <c r="U80" s="285">
        <f t="shared" ref="U80" si="13">E80+I80+M80+Q80</f>
        <v>0</v>
      </c>
      <c r="V80" s="285">
        <f t="shared" ref="V80" si="14">F80+J80+N80+R80</f>
        <v>1746</v>
      </c>
      <c r="W80" s="385">
        <f t="shared" ref="W80" si="15">V80-U80</f>
        <v>1746</v>
      </c>
      <c r="X80" s="460"/>
    </row>
    <row r="81" spans="1:24" ht="42" customHeight="1">
      <c r="A81" s="285" t="s">
        <v>509</v>
      </c>
      <c r="B81" s="641" t="s">
        <v>510</v>
      </c>
      <c r="C81" s="642"/>
      <c r="D81" s="643"/>
      <c r="E81" s="383"/>
      <c r="F81" s="384"/>
      <c r="G81" s="384"/>
      <c r="H81" s="285"/>
      <c r="I81" s="450">
        <v>0</v>
      </c>
      <c r="J81" s="385">
        <v>0</v>
      </c>
      <c r="K81" s="385">
        <f>J81-I81</f>
        <v>0</v>
      </c>
      <c r="L81" s="285">
        <v>0</v>
      </c>
      <c r="M81" s="285">
        <v>0</v>
      </c>
      <c r="N81" s="285">
        <v>0</v>
      </c>
      <c r="O81" s="285">
        <v>0</v>
      </c>
      <c r="P81" s="285">
        <v>0</v>
      </c>
      <c r="Q81" s="285"/>
      <c r="R81" s="285"/>
      <c r="S81" s="285"/>
      <c r="T81" s="285"/>
      <c r="U81" s="385">
        <v>0</v>
      </c>
      <c r="V81" s="385">
        <f>J81</f>
        <v>0</v>
      </c>
      <c r="W81" s="385">
        <f t="shared" si="7"/>
        <v>0</v>
      </c>
      <c r="X81" s="460"/>
    </row>
    <row r="82" spans="1:24" ht="18.75" customHeight="1">
      <c r="A82" s="58"/>
      <c r="B82" s="631" t="s">
        <v>40</v>
      </c>
      <c r="C82" s="632"/>
      <c r="D82" s="633"/>
      <c r="E82" s="386">
        <v>0</v>
      </c>
      <c r="F82" s="285">
        <v>0</v>
      </c>
      <c r="G82" s="286"/>
      <c r="H82" s="285"/>
      <c r="I82" s="397">
        <f>I75+I81</f>
        <v>2124.9</v>
      </c>
      <c r="J82" s="397">
        <f>J75+J81</f>
        <v>4218.8999999999996</v>
      </c>
      <c r="K82" s="382">
        <f>J82-I82</f>
        <v>2093.9999999999995</v>
      </c>
      <c r="L82" s="382">
        <v>0</v>
      </c>
      <c r="M82" s="288">
        <v>0</v>
      </c>
      <c r="N82" s="288">
        <v>0</v>
      </c>
      <c r="O82" s="288">
        <f>N82-M82</f>
        <v>0</v>
      </c>
      <c r="P82" s="382">
        <v>0</v>
      </c>
      <c r="Q82" s="288"/>
      <c r="R82" s="288"/>
      <c r="S82" s="288"/>
      <c r="T82" s="288"/>
      <c r="U82" s="382">
        <f>U75</f>
        <v>2124.9</v>
      </c>
      <c r="V82" s="382">
        <f>V75</f>
        <v>4218.8999999999996</v>
      </c>
      <c r="W82" s="382">
        <f t="shared" si="7"/>
        <v>2093.9999999999995</v>
      </c>
      <c r="X82" s="288">
        <v>0</v>
      </c>
    </row>
    <row r="83" spans="1:24" ht="18.75" customHeight="1">
      <c r="A83" s="58"/>
      <c r="B83" s="631" t="s">
        <v>41</v>
      </c>
      <c r="C83" s="632"/>
      <c r="D83" s="633"/>
      <c r="E83" s="387"/>
      <c r="F83" s="58"/>
      <c r="G83" s="280"/>
      <c r="H83" s="58"/>
      <c r="I83" s="450">
        <v>0</v>
      </c>
      <c r="J83" s="385">
        <v>0</v>
      </c>
      <c r="K83" s="385"/>
      <c r="L83" s="285"/>
      <c r="M83" s="285">
        <v>0</v>
      </c>
      <c r="N83" s="385">
        <v>0</v>
      </c>
      <c r="O83" s="385"/>
      <c r="P83" s="285"/>
      <c r="Q83" s="285"/>
      <c r="R83" s="285"/>
      <c r="S83" s="285"/>
      <c r="T83" s="285"/>
      <c r="U83" s="385">
        <v>0</v>
      </c>
      <c r="V83" s="385">
        <v>0</v>
      </c>
      <c r="W83" s="58"/>
      <c r="X83" s="58"/>
    </row>
    <row r="85" spans="1:24">
      <c r="A85" s="388" t="s">
        <v>254</v>
      </c>
      <c r="B85" s="22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4">
      <c r="A86" s="626" t="s">
        <v>35</v>
      </c>
      <c r="B86" s="571" t="s">
        <v>258</v>
      </c>
      <c r="C86" s="627" t="s">
        <v>259</v>
      </c>
      <c r="D86" s="627" t="s">
        <v>260</v>
      </c>
      <c r="E86" s="627" t="s">
        <v>255</v>
      </c>
      <c r="F86" s="627" t="s">
        <v>256</v>
      </c>
      <c r="G86" s="611" t="s">
        <v>104</v>
      </c>
      <c r="H86" s="612"/>
      <c r="I86" s="612"/>
      <c r="J86" s="612"/>
      <c r="K86" s="612"/>
      <c r="L86" s="612"/>
      <c r="M86" s="613"/>
      <c r="N86" s="571" t="s">
        <v>511</v>
      </c>
      <c r="O86" s="571"/>
      <c r="P86" s="571"/>
      <c r="Q86" s="571"/>
      <c r="R86" s="571" t="s">
        <v>262</v>
      </c>
      <c r="S86" s="571"/>
      <c r="T86" s="571"/>
      <c r="U86" s="21"/>
      <c r="V86" s="21"/>
      <c r="W86" s="21"/>
    </row>
    <row r="87" spans="1:24">
      <c r="A87" s="626"/>
      <c r="B87" s="571"/>
      <c r="C87" s="628"/>
      <c r="D87" s="628"/>
      <c r="E87" s="628"/>
      <c r="F87" s="628"/>
      <c r="G87" s="607" t="s">
        <v>257</v>
      </c>
      <c r="H87" s="655"/>
      <c r="I87" s="608"/>
      <c r="J87" s="627" t="s">
        <v>263</v>
      </c>
      <c r="K87" s="611" t="s">
        <v>266</v>
      </c>
      <c r="L87" s="657"/>
      <c r="M87" s="658"/>
      <c r="N87" s="571"/>
      <c r="O87" s="571"/>
      <c r="P87" s="571"/>
      <c r="Q87" s="571"/>
      <c r="R87" s="571"/>
      <c r="S87" s="571"/>
      <c r="T87" s="571"/>
      <c r="U87" s="21"/>
      <c r="V87" s="21"/>
      <c r="W87" s="21"/>
    </row>
    <row r="88" spans="1:24" ht="117" customHeight="1">
      <c r="A88" s="626"/>
      <c r="B88" s="571"/>
      <c r="C88" s="629"/>
      <c r="D88" s="629"/>
      <c r="E88" s="629"/>
      <c r="F88" s="629"/>
      <c r="G88" s="609"/>
      <c r="H88" s="656"/>
      <c r="I88" s="610"/>
      <c r="J88" s="629"/>
      <c r="K88" s="389" t="s">
        <v>264</v>
      </c>
      <c r="L88" s="361" t="s">
        <v>265</v>
      </c>
      <c r="M88" s="361" t="s">
        <v>512</v>
      </c>
      <c r="N88" s="571"/>
      <c r="O88" s="571"/>
      <c r="P88" s="571"/>
      <c r="Q88" s="571"/>
      <c r="R88" s="571"/>
      <c r="S88" s="571"/>
      <c r="T88" s="571"/>
      <c r="U88" s="21"/>
      <c r="V88" s="21"/>
      <c r="W88" s="21"/>
    </row>
    <row r="89" spans="1:24">
      <c r="A89" s="112">
        <v>1</v>
      </c>
      <c r="B89" s="235">
        <v>2</v>
      </c>
      <c r="C89" s="235">
        <v>3</v>
      </c>
      <c r="D89" s="235">
        <v>4</v>
      </c>
      <c r="E89" s="235">
        <v>5</v>
      </c>
      <c r="F89" s="235">
        <v>6</v>
      </c>
      <c r="G89" s="598">
        <v>7</v>
      </c>
      <c r="H89" s="614"/>
      <c r="I89" s="599"/>
      <c r="J89" s="235">
        <v>8</v>
      </c>
      <c r="K89" s="235">
        <v>9</v>
      </c>
      <c r="L89" s="235">
        <v>10</v>
      </c>
      <c r="M89" s="235">
        <v>11</v>
      </c>
      <c r="N89" s="653">
        <v>12</v>
      </c>
      <c r="O89" s="653"/>
      <c r="P89" s="653"/>
      <c r="Q89" s="653"/>
      <c r="R89" s="650">
        <v>13</v>
      </c>
      <c r="S89" s="651"/>
      <c r="T89" s="652"/>
      <c r="V89" s="228"/>
      <c r="W89" s="228"/>
      <c r="X89" s="228"/>
    </row>
    <row r="90" spans="1:24">
      <c r="A90" s="58"/>
      <c r="B90" s="280"/>
      <c r="C90" s="58"/>
      <c r="D90" s="58"/>
      <c r="E90" s="58"/>
      <c r="F90" s="58"/>
      <c r="G90" s="644"/>
      <c r="H90" s="645"/>
      <c r="I90" s="646"/>
      <c r="J90" s="58"/>
      <c r="K90" s="58"/>
      <c r="L90" s="58"/>
      <c r="M90" s="58"/>
      <c r="N90" s="654"/>
      <c r="O90" s="648"/>
      <c r="P90" s="648"/>
      <c r="Q90" s="649"/>
      <c r="R90" s="647"/>
      <c r="S90" s="648"/>
      <c r="T90" s="649"/>
      <c r="V90" s="228"/>
      <c r="W90" s="228"/>
      <c r="X90" s="228"/>
    </row>
    <row r="91" spans="1:24">
      <c r="A91" s="58"/>
      <c r="B91" s="280"/>
      <c r="C91" s="58"/>
      <c r="D91" s="58"/>
      <c r="E91" s="58"/>
      <c r="F91" s="58"/>
      <c r="G91" s="644"/>
      <c r="H91" s="645"/>
      <c r="I91" s="646"/>
      <c r="J91" s="58"/>
      <c r="K91" s="58"/>
      <c r="L91" s="58"/>
      <c r="M91" s="58"/>
      <c r="N91" s="647"/>
      <c r="O91" s="648"/>
      <c r="P91" s="648"/>
      <c r="Q91" s="649"/>
      <c r="R91" s="647"/>
      <c r="S91" s="648"/>
      <c r="T91" s="649"/>
    </row>
    <row r="93" spans="1:24">
      <c r="B93" s="390" t="s">
        <v>513</v>
      </c>
      <c r="C93" s="335"/>
      <c r="D93" s="391"/>
      <c r="E93" s="391"/>
      <c r="F93" s="335"/>
      <c r="G93" s="335"/>
      <c r="H93" s="335"/>
      <c r="I93" s="335"/>
      <c r="J93" s="335"/>
      <c r="K93" s="391"/>
      <c r="L93" s="335" t="s">
        <v>514</v>
      </c>
      <c r="M93" s="335"/>
      <c r="N93" s="22"/>
    </row>
    <row r="94" spans="1:24">
      <c r="B94" s="238" t="s">
        <v>58</v>
      </c>
      <c r="C94" s="392"/>
      <c r="D94" s="392"/>
      <c r="E94" s="392"/>
      <c r="F94" s="392"/>
      <c r="G94" s="392" t="s">
        <v>59</v>
      </c>
      <c r="H94" s="392"/>
      <c r="I94" s="392"/>
      <c r="J94" s="392"/>
      <c r="K94" s="392"/>
      <c r="L94" s="392" t="s">
        <v>515</v>
      </c>
      <c r="M94" s="392"/>
      <c r="N94" s="392"/>
    </row>
  </sheetData>
  <mergeCells count="161">
    <mergeCell ref="G91:I91"/>
    <mergeCell ref="N91:Q91"/>
    <mergeCell ref="R91:T91"/>
    <mergeCell ref="I72:L72"/>
    <mergeCell ref="G89:I89"/>
    <mergeCell ref="N89:Q89"/>
    <mergeCell ref="R89:T89"/>
    <mergeCell ref="G90:I90"/>
    <mergeCell ref="N90:Q90"/>
    <mergeCell ref="R90:T90"/>
    <mergeCell ref="G86:M86"/>
    <mergeCell ref="N86:Q88"/>
    <mergeCell ref="R86:T88"/>
    <mergeCell ref="G87:I88"/>
    <mergeCell ref="J87:J88"/>
    <mergeCell ref="K87:M87"/>
    <mergeCell ref="E72:H72"/>
    <mergeCell ref="A86:A88"/>
    <mergeCell ref="B86:B88"/>
    <mergeCell ref="C86:C88"/>
    <mergeCell ref="D86:D88"/>
    <mergeCell ref="E86:E88"/>
    <mergeCell ref="F86:F88"/>
    <mergeCell ref="U72:X72"/>
    <mergeCell ref="A72:A73"/>
    <mergeCell ref="M72:P72"/>
    <mergeCell ref="Q72:T72"/>
    <mergeCell ref="B72:D73"/>
    <mergeCell ref="B82:D82"/>
    <mergeCell ref="B83:D83"/>
    <mergeCell ref="B78:D78"/>
    <mergeCell ref="B79:D79"/>
    <mergeCell ref="B75:D75"/>
    <mergeCell ref="B76:D76"/>
    <mergeCell ref="B74:D74"/>
    <mergeCell ref="B77:D77"/>
    <mergeCell ref="B81:D81"/>
    <mergeCell ref="B80:D80"/>
    <mergeCell ref="K66:K67"/>
    <mergeCell ref="L66:L67"/>
    <mergeCell ref="G68:I68"/>
    <mergeCell ref="G69:I69"/>
    <mergeCell ref="G70:I70"/>
    <mergeCell ref="A71:E71"/>
    <mergeCell ref="A64:L64"/>
    <mergeCell ref="A65:A67"/>
    <mergeCell ref="B65:B67"/>
    <mergeCell ref="C65:C67"/>
    <mergeCell ref="D65:D67"/>
    <mergeCell ref="E65:E67"/>
    <mergeCell ref="F65:L65"/>
    <mergeCell ref="F66:F67"/>
    <mergeCell ref="G66:I67"/>
    <mergeCell ref="J66:J67"/>
    <mergeCell ref="E61:F61"/>
    <mergeCell ref="G61:H61"/>
    <mergeCell ref="E62:F62"/>
    <mergeCell ref="G62:H62"/>
    <mergeCell ref="E63:F63"/>
    <mergeCell ref="G63:H63"/>
    <mergeCell ref="A58:L58"/>
    <mergeCell ref="A59:A60"/>
    <mergeCell ref="B59:B60"/>
    <mergeCell ref="C59:C60"/>
    <mergeCell ref="D59:D60"/>
    <mergeCell ref="E59:F60"/>
    <mergeCell ref="G59:L59"/>
    <mergeCell ref="G60:H60"/>
    <mergeCell ref="A42:G42"/>
    <mergeCell ref="A48:G48"/>
    <mergeCell ref="A49:A50"/>
    <mergeCell ref="B49:B50"/>
    <mergeCell ref="C49:D49"/>
    <mergeCell ref="E49:F49"/>
    <mergeCell ref="G49:G50"/>
    <mergeCell ref="D32:E32"/>
    <mergeCell ref="F32:G32"/>
    <mergeCell ref="N32:O32"/>
    <mergeCell ref="A34:H34"/>
    <mergeCell ref="A35:A36"/>
    <mergeCell ref="B35:C35"/>
    <mergeCell ref="D35:E35"/>
    <mergeCell ref="F35:G35"/>
    <mergeCell ref="D30:E30"/>
    <mergeCell ref="F30:G30"/>
    <mergeCell ref="N30:O30"/>
    <mergeCell ref="D31:E31"/>
    <mergeCell ref="F31:G31"/>
    <mergeCell ref="N31:O31"/>
    <mergeCell ref="D28:E28"/>
    <mergeCell ref="F28:G28"/>
    <mergeCell ref="N28:O28"/>
    <mergeCell ref="D29:E29"/>
    <mergeCell ref="F29:G29"/>
    <mergeCell ref="N29:O29"/>
    <mergeCell ref="D26:E26"/>
    <mergeCell ref="F26:G26"/>
    <mergeCell ref="N26:O26"/>
    <mergeCell ref="D27:E27"/>
    <mergeCell ref="F27:G27"/>
    <mergeCell ref="N27:O27"/>
    <mergeCell ref="D24:E24"/>
    <mergeCell ref="F24:G24"/>
    <mergeCell ref="N24:O24"/>
    <mergeCell ref="D25:E25"/>
    <mergeCell ref="F25:G25"/>
    <mergeCell ref="N25:O25"/>
    <mergeCell ref="D22:E22"/>
    <mergeCell ref="F22:G22"/>
    <mergeCell ref="N22:O22"/>
    <mergeCell ref="D23:E23"/>
    <mergeCell ref="F23:G23"/>
    <mergeCell ref="N23:O23"/>
    <mergeCell ref="D20:E20"/>
    <mergeCell ref="F20:G20"/>
    <mergeCell ref="N20:O20"/>
    <mergeCell ref="D21:E21"/>
    <mergeCell ref="F21:G21"/>
    <mergeCell ref="N21:O21"/>
    <mergeCell ref="D18:E18"/>
    <mergeCell ref="F18:G18"/>
    <mergeCell ref="N18:O18"/>
    <mergeCell ref="D19:E19"/>
    <mergeCell ref="F19:G19"/>
    <mergeCell ref="N19:O19"/>
    <mergeCell ref="D16:E16"/>
    <mergeCell ref="F16:G16"/>
    <mergeCell ref="N16:O16"/>
    <mergeCell ref="D17:E17"/>
    <mergeCell ref="F17:G17"/>
    <mergeCell ref="N17:O17"/>
    <mergeCell ref="D14:E14"/>
    <mergeCell ref="F14:G14"/>
    <mergeCell ref="N14:O14"/>
    <mergeCell ref="D15:E15"/>
    <mergeCell ref="F15:G15"/>
    <mergeCell ref="N15:O15"/>
    <mergeCell ref="D12:E12"/>
    <mergeCell ref="F12:G12"/>
    <mergeCell ref="N12:O12"/>
    <mergeCell ref="D13:E13"/>
    <mergeCell ref="F13:G13"/>
    <mergeCell ref="N13:O13"/>
    <mergeCell ref="D10:E10"/>
    <mergeCell ref="F10:G10"/>
    <mergeCell ref="N10:O10"/>
    <mergeCell ref="D11:E11"/>
    <mergeCell ref="F11:G11"/>
    <mergeCell ref="N11:O11"/>
    <mergeCell ref="D8:E8"/>
    <mergeCell ref="F8:G8"/>
    <mergeCell ref="N8:O8"/>
    <mergeCell ref="D9:E9"/>
    <mergeCell ref="F9:G9"/>
    <mergeCell ref="N9:O9"/>
    <mergeCell ref="A2:G2"/>
    <mergeCell ref="A3:G3"/>
    <mergeCell ref="A4:G4"/>
    <mergeCell ref="A5:G5"/>
    <mergeCell ref="A6:G6"/>
    <mergeCell ref="A7:G7"/>
  </mergeCells>
  <printOptions horizontalCentered="1"/>
  <pageMargins left="0.35433070866141736" right="0.19685039370078741" top="0.39370078740157483" bottom="0.39370078740157483" header="0.31496062992125984" footer="0.31496062992125984"/>
  <pageSetup paperSize="9" scale="80" orientation="portrait" r:id="rId1"/>
  <rowBreaks count="3" manualBreakCount="3">
    <brk id="33" max="16383" man="1"/>
    <brk id="57" max="16383" man="1"/>
    <brk id="70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3"/>
  <sheetViews>
    <sheetView view="pageBreakPreview" zoomScale="60" zoomScaleNormal="64" workbookViewId="0">
      <selection activeCell="E19" sqref="E19"/>
    </sheetView>
  </sheetViews>
  <sheetFormatPr defaultRowHeight="12.75"/>
  <cols>
    <col min="1" max="1" width="53.28515625" style="345" customWidth="1"/>
    <col min="2" max="2" width="7.85546875" style="345" customWidth="1"/>
    <col min="3" max="3" width="14.7109375" style="345" customWidth="1"/>
    <col min="4" max="4" width="13.85546875" style="345" customWidth="1"/>
    <col min="5" max="5" width="16.42578125" style="345" customWidth="1"/>
    <col min="6" max="6" width="30" style="345" customWidth="1"/>
  </cols>
  <sheetData>
    <row r="1" spans="1:7" ht="18.75" customHeight="1">
      <c r="A1" s="659" t="s">
        <v>549</v>
      </c>
      <c r="B1" s="659"/>
      <c r="C1" s="659"/>
      <c r="D1" s="659"/>
      <c r="E1" s="659"/>
      <c r="F1" s="659"/>
    </row>
    <row r="4" spans="1:7" ht="95.25" customHeight="1">
      <c r="A4" s="346" t="s">
        <v>183</v>
      </c>
      <c r="B4" s="346" t="s">
        <v>0</v>
      </c>
      <c r="C4" s="346" t="s">
        <v>449</v>
      </c>
      <c r="D4" s="346" t="s">
        <v>450</v>
      </c>
      <c r="E4" s="346" t="s">
        <v>451</v>
      </c>
      <c r="F4" s="346" t="s">
        <v>452</v>
      </c>
    </row>
    <row r="5" spans="1:7" ht="16.5" customHeight="1">
      <c r="A5" s="347">
        <v>1</v>
      </c>
      <c r="B5" s="347">
        <v>2</v>
      </c>
      <c r="C5" s="347">
        <v>3</v>
      </c>
      <c r="D5" s="347">
        <v>4</v>
      </c>
      <c r="E5" s="347">
        <v>5</v>
      </c>
      <c r="F5" s="347">
        <v>6</v>
      </c>
    </row>
    <row r="6" spans="1:7" ht="23.25" customHeight="1">
      <c r="A6" s="660" t="s">
        <v>453</v>
      </c>
      <c r="B6" s="661"/>
      <c r="C6" s="661"/>
      <c r="D6" s="661"/>
      <c r="E6" s="661"/>
      <c r="F6" s="662"/>
    </row>
    <row r="7" spans="1:7" ht="76.5" customHeight="1">
      <c r="A7" s="8" t="s">
        <v>480</v>
      </c>
      <c r="B7" s="232">
        <v>5000</v>
      </c>
      <c r="C7" s="348"/>
      <c r="D7" s="349">
        <f>1315/7307*100</f>
        <v>17.996441768167511</v>
      </c>
      <c r="E7" s="349">
        <f>'1.Фінансовий результат'!D29/'1.Фінансовий результат'!D13*100</f>
        <v>18.897465940680508</v>
      </c>
      <c r="F7" s="349"/>
    </row>
    <row r="8" spans="1:7" ht="57" customHeight="1">
      <c r="A8" s="350" t="s">
        <v>454</v>
      </c>
      <c r="B8" s="232">
        <v>5020</v>
      </c>
      <c r="C8" s="348" t="s">
        <v>455</v>
      </c>
      <c r="D8" s="351">
        <f>18/9724</f>
        <v>1.8510900863842039E-3</v>
      </c>
      <c r="E8" s="351">
        <f>'1.Фінансовий результат'!D96/14235</f>
        <v>1.4049877063576641E-3</v>
      </c>
      <c r="F8" s="352" t="s">
        <v>456</v>
      </c>
    </row>
    <row r="9" spans="1:7" ht="77.25" customHeight="1">
      <c r="A9" s="350" t="s">
        <v>457</v>
      </c>
      <c r="B9" s="232">
        <v>5030</v>
      </c>
      <c r="C9" s="348" t="s">
        <v>455</v>
      </c>
      <c r="D9" s="351">
        <f>18/8845</f>
        <v>2.0350480497456189E-3</v>
      </c>
      <c r="E9" s="351">
        <f>'1.Фінансовий результат'!D96/13096</f>
        <v>1.5271838729384048E-3</v>
      </c>
      <c r="F9" s="353"/>
      <c r="G9" s="454">
        <f>13/8871</f>
        <v>1.4654492165483036E-3</v>
      </c>
    </row>
    <row r="10" spans="1:7" ht="78.75" customHeight="1">
      <c r="A10" s="350" t="s">
        <v>458</v>
      </c>
      <c r="B10" s="232">
        <v>5040</v>
      </c>
      <c r="C10" s="348" t="s">
        <v>459</v>
      </c>
      <c r="D10" s="351">
        <f>18/7307</f>
        <v>2.4633912686465032E-3</v>
      </c>
      <c r="E10" s="351">
        <f>'1.Фінансовий результат'!D96/'1.Фінансовий результат'!D13</f>
        <v>2.297424587038085E-3</v>
      </c>
      <c r="F10" s="352" t="s">
        <v>460</v>
      </c>
      <c r="G10" s="454">
        <f>13/4057</f>
        <v>3.2043381809218636E-3</v>
      </c>
    </row>
    <row r="11" spans="1:7" ht="21.75" customHeight="1">
      <c r="A11" s="660" t="s">
        <v>461</v>
      </c>
      <c r="B11" s="663"/>
      <c r="C11" s="663"/>
      <c r="D11" s="663"/>
      <c r="E11" s="663"/>
      <c r="F11" s="664"/>
    </row>
    <row r="12" spans="1:7" ht="104.25" customHeight="1">
      <c r="A12" s="354" t="s">
        <v>462</v>
      </c>
      <c r="B12" s="232">
        <v>5110</v>
      </c>
      <c r="C12" s="348" t="s">
        <v>463</v>
      </c>
      <c r="D12" s="355">
        <f>8845/(0+879)</f>
        <v>10.062571103526736</v>
      </c>
      <c r="E12" s="355">
        <f>13096/(0+1139)</f>
        <v>11.497805092186129</v>
      </c>
      <c r="F12" s="352" t="s">
        <v>464</v>
      </c>
    </row>
    <row r="13" spans="1:7" ht="84.75" customHeight="1">
      <c r="A13" s="354" t="s">
        <v>465</v>
      </c>
      <c r="B13" s="232">
        <v>5120</v>
      </c>
      <c r="C13" s="348" t="s">
        <v>466</v>
      </c>
      <c r="D13" s="355">
        <f>1494/879</f>
        <v>1.6996587030716723</v>
      </c>
      <c r="E13" s="355">
        <f>1980/1139</f>
        <v>1.7383669885864794</v>
      </c>
      <c r="F13" s="352" t="s">
        <v>467</v>
      </c>
    </row>
    <row r="14" spans="1:7" ht="23.25" customHeight="1">
      <c r="A14" s="660" t="s">
        <v>468</v>
      </c>
      <c r="B14" s="663"/>
      <c r="C14" s="663"/>
      <c r="D14" s="663"/>
      <c r="E14" s="663"/>
      <c r="F14" s="664"/>
    </row>
    <row r="15" spans="1:7" ht="102" customHeight="1">
      <c r="A15" s="354" t="s">
        <v>469</v>
      </c>
      <c r="B15" s="232">
        <v>5200</v>
      </c>
      <c r="C15" s="349"/>
      <c r="D15" s="349">
        <f>0/99</f>
        <v>0</v>
      </c>
      <c r="E15" s="355">
        <f>'4.Кап. інвестиції'!D7/'1.Фінансовий результат'!D106</f>
        <v>43.05</v>
      </c>
      <c r="F15" s="356"/>
    </row>
    <row r="16" spans="1:7" ht="141" customHeight="1">
      <c r="A16" s="354" t="s">
        <v>470</v>
      </c>
      <c r="B16" s="232">
        <v>5210</v>
      </c>
      <c r="C16" s="351"/>
      <c r="D16" s="351">
        <f>0/7307</f>
        <v>0</v>
      </c>
      <c r="E16" s="355">
        <f>'4.Кап. інвестиції'!D7/'1.Фінансовий результат'!D13</f>
        <v>0.48463022951271612</v>
      </c>
      <c r="F16" s="357"/>
    </row>
    <row r="17" spans="1:6" ht="75" customHeight="1">
      <c r="A17" s="354" t="s">
        <v>471</v>
      </c>
      <c r="B17" s="232">
        <v>5220</v>
      </c>
      <c r="C17" s="348" t="s">
        <v>455</v>
      </c>
      <c r="D17" s="355">
        <f>4726/10748</f>
        <v>0.43970971343505766</v>
      </c>
      <c r="E17" s="355">
        <f>5235/15173</f>
        <v>0.34502076056152375</v>
      </c>
      <c r="F17" s="353" t="s">
        <v>472</v>
      </c>
    </row>
    <row r="18" spans="1:6" ht="18.75">
      <c r="A18" s="665" t="s">
        <v>473</v>
      </c>
      <c r="B18" s="661"/>
      <c r="C18" s="661"/>
      <c r="D18" s="661"/>
      <c r="E18" s="661"/>
      <c r="F18" s="662"/>
    </row>
    <row r="19" spans="1:6" ht="131.25" customHeight="1">
      <c r="A19" s="350" t="s">
        <v>474</v>
      </c>
      <c r="B19" s="232">
        <v>5300</v>
      </c>
      <c r="C19" s="348"/>
      <c r="D19" s="355"/>
      <c r="E19" s="355"/>
      <c r="F19" s="353"/>
    </row>
    <row r="21" spans="1:6" ht="18.75">
      <c r="A21" s="325" t="s">
        <v>475</v>
      </c>
      <c r="B21" s="41"/>
      <c r="C21" s="666" t="s">
        <v>476</v>
      </c>
      <c r="D21" s="666"/>
      <c r="E21" s="358"/>
      <c r="F21" s="335" t="s">
        <v>477</v>
      </c>
    </row>
    <row r="22" spans="1:6" ht="15">
      <c r="A22" s="296" t="s">
        <v>478</v>
      </c>
      <c r="B22" s="359"/>
      <c r="C22" s="578" t="s">
        <v>59</v>
      </c>
      <c r="D22" s="578"/>
      <c r="E22" s="237"/>
      <c r="F22" s="238" t="s">
        <v>479</v>
      </c>
    </row>
    <row r="23" spans="1:6" ht="15">
      <c r="A23" s="360"/>
      <c r="B23" s="360"/>
      <c r="C23" s="360"/>
      <c r="D23" s="360"/>
      <c r="E23" s="360"/>
      <c r="F23" s="360"/>
    </row>
  </sheetData>
  <mergeCells count="7">
    <mergeCell ref="C22:D22"/>
    <mergeCell ref="A1:F1"/>
    <mergeCell ref="A6:F6"/>
    <mergeCell ref="A11:F11"/>
    <mergeCell ref="A14:F14"/>
    <mergeCell ref="A18:F18"/>
    <mergeCell ref="C21:D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AJ100"/>
  <sheetViews>
    <sheetView zoomScale="48" zoomScaleNormal="48" zoomScaleSheetLayoutView="75" workbookViewId="0">
      <selection activeCell="E14" sqref="E14"/>
    </sheetView>
  </sheetViews>
  <sheetFormatPr defaultRowHeight="18.75"/>
  <cols>
    <col min="1" max="1" width="32.5703125" style="2" customWidth="1"/>
    <col min="2" max="2" width="13.5703125" style="17" customWidth="1"/>
    <col min="3" max="3" width="14" style="17" customWidth="1"/>
    <col min="4" max="4" width="15.85546875" style="17" customWidth="1"/>
    <col min="5" max="5" width="15.140625" style="2" customWidth="1"/>
    <col min="6" max="6" width="2.85546875" style="2" hidden="1" customWidth="1"/>
    <col min="7" max="7" width="22.140625" style="2" customWidth="1"/>
    <col min="8" max="8" width="20.42578125" style="2" hidden="1" customWidth="1"/>
    <col min="9" max="9" width="20.140625" style="2" customWidth="1"/>
    <col min="10" max="10" width="19.42578125" style="2" hidden="1" customWidth="1"/>
    <col min="11" max="11" width="12.85546875" style="2" customWidth="1"/>
    <col min="12" max="12" width="16.28515625" style="2" customWidth="1"/>
    <col min="13" max="13" width="15.85546875" style="2" customWidth="1"/>
    <col min="14" max="14" width="10" style="2" customWidth="1"/>
    <col min="15" max="15" width="12.85546875" style="2" customWidth="1"/>
    <col min="16" max="16" width="9.7109375" style="2" customWidth="1"/>
    <col min="17" max="17" width="11.42578125" style="2" customWidth="1"/>
    <col min="18" max="18" width="5.5703125" style="2" customWidth="1"/>
    <col min="19" max="19" width="5.85546875" style="2" customWidth="1"/>
    <col min="20" max="20" width="8.7109375" style="2" customWidth="1"/>
    <col min="21" max="21" width="6.85546875" style="2" customWidth="1"/>
    <col min="22" max="22" width="8" style="2" customWidth="1"/>
    <col min="23" max="23" width="4.140625" style="2" customWidth="1"/>
    <col min="24" max="24" width="3.85546875" style="2" customWidth="1"/>
    <col min="25" max="25" width="5.85546875" style="2" customWidth="1"/>
    <col min="26" max="26" width="5.7109375" style="2" customWidth="1"/>
    <col min="27" max="27" width="9.85546875" style="2" customWidth="1"/>
    <col min="28" max="28" width="9.140625" style="2" customWidth="1"/>
    <col min="29" max="29" width="10.42578125" style="2" customWidth="1"/>
    <col min="30" max="30" width="7.42578125" style="2" customWidth="1"/>
    <col min="31" max="31" width="6.28515625" style="2" customWidth="1"/>
    <col min="32" max="16384" width="9.140625" style="2"/>
  </cols>
  <sheetData>
    <row r="1" spans="1:17" ht="0.75" customHeight="1"/>
    <row r="2" spans="1:17" hidden="1">
      <c r="B2" s="675"/>
      <c r="C2" s="675"/>
      <c r="D2" s="675"/>
      <c r="E2" s="675"/>
      <c r="F2" s="675"/>
      <c r="G2" s="675"/>
      <c r="H2" s="675"/>
      <c r="I2" s="675"/>
    </row>
    <row r="3" spans="1:17" ht="29.25" customHeight="1">
      <c r="B3" s="83"/>
      <c r="C3" s="83"/>
      <c r="D3" s="83"/>
      <c r="E3" s="83"/>
      <c r="F3" s="83"/>
      <c r="G3" s="83"/>
      <c r="H3" s="83"/>
      <c r="I3" s="83"/>
    </row>
    <row r="4" spans="1:17">
      <c r="A4" s="675" t="s">
        <v>302</v>
      </c>
      <c r="B4" s="675"/>
      <c r="C4" s="675"/>
      <c r="D4" s="675"/>
      <c r="E4" s="675"/>
      <c r="F4" s="675"/>
      <c r="G4" s="675"/>
      <c r="H4" s="675"/>
      <c r="I4" s="675"/>
      <c r="J4" s="675"/>
      <c r="K4" s="83"/>
      <c r="L4" s="83"/>
      <c r="M4" s="83"/>
      <c r="N4" s="83"/>
      <c r="O4" s="83"/>
      <c r="P4" s="83"/>
      <c r="Q4" s="83"/>
    </row>
    <row r="5" spans="1:17">
      <c r="A5" s="675" t="s">
        <v>387</v>
      </c>
      <c r="B5" s="675"/>
      <c r="C5" s="675"/>
      <c r="D5" s="675"/>
      <c r="E5" s="675"/>
      <c r="F5" s="675"/>
      <c r="G5" s="675"/>
      <c r="H5" s="675"/>
      <c r="I5" s="675"/>
      <c r="J5" s="675"/>
      <c r="K5" s="83"/>
      <c r="L5" s="83"/>
      <c r="M5" s="83"/>
      <c r="N5" s="83"/>
      <c r="O5" s="83"/>
      <c r="P5" s="83"/>
      <c r="Q5" s="83"/>
    </row>
    <row r="6" spans="1:17">
      <c r="A6" s="735" t="s">
        <v>328</v>
      </c>
      <c r="B6" s="735"/>
      <c r="C6" s="735"/>
      <c r="D6" s="735"/>
      <c r="E6" s="735"/>
      <c r="F6" s="735"/>
      <c r="G6" s="735"/>
      <c r="H6" s="735"/>
      <c r="I6" s="735"/>
      <c r="J6" s="735"/>
      <c r="K6" s="200"/>
      <c r="L6" s="21"/>
      <c r="M6" s="21"/>
      <c r="N6" s="21"/>
      <c r="O6" s="21"/>
      <c r="P6" s="21"/>
      <c r="Q6" s="21"/>
    </row>
    <row r="7" spans="1:17" ht="20.100000000000001" customHeight="1">
      <c r="A7" s="517" t="s">
        <v>102</v>
      </c>
      <c r="B7" s="517"/>
      <c r="C7" s="517"/>
      <c r="D7" s="517"/>
      <c r="E7" s="517"/>
      <c r="F7" s="517"/>
      <c r="G7" s="517"/>
      <c r="H7" s="517"/>
      <c r="I7" s="517"/>
      <c r="J7" s="517"/>
      <c r="K7" s="50"/>
      <c r="L7" s="50"/>
      <c r="M7" s="50"/>
      <c r="N7" s="50"/>
      <c r="O7" s="50"/>
      <c r="P7" s="50"/>
      <c r="Q7" s="50"/>
    </row>
    <row r="8" spans="1:17" ht="21.95" customHeight="1">
      <c r="A8" s="11" t="s">
        <v>269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5"/>
      <c r="M8" s="5"/>
      <c r="N8" s="5"/>
      <c r="O8" s="5"/>
      <c r="P8" s="5"/>
      <c r="Q8" s="5"/>
    </row>
    <row r="9" spans="1:17" ht="16.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7" ht="18.75" customHeight="1">
      <c r="A10" s="2" t="s">
        <v>222</v>
      </c>
      <c r="B10" s="2"/>
      <c r="C10" s="2"/>
      <c r="D10" s="2"/>
    </row>
    <row r="11" spans="1:17" ht="18.7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s="3" customFormat="1" ht="116.25" customHeight="1">
      <c r="A12" s="6" t="s">
        <v>183</v>
      </c>
      <c r="B12" s="244" t="s">
        <v>377</v>
      </c>
      <c r="C12" s="244" t="s">
        <v>388</v>
      </c>
      <c r="D12" s="244" t="s">
        <v>389</v>
      </c>
      <c r="E12" s="244" t="s">
        <v>104</v>
      </c>
      <c r="F12" s="244"/>
      <c r="G12" s="554" t="s">
        <v>390</v>
      </c>
      <c r="H12" s="554"/>
      <c r="I12" s="554" t="s">
        <v>391</v>
      </c>
      <c r="J12" s="554"/>
      <c r="K12" s="40"/>
      <c r="L12" s="40"/>
      <c r="M12" s="40"/>
      <c r="N12" s="40"/>
      <c r="O12" s="40"/>
      <c r="P12" s="21"/>
      <c r="Q12" s="21"/>
    </row>
    <row r="13" spans="1:17" s="3" customFormat="1" ht="18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/>
      <c r="G13" s="555">
        <v>6</v>
      </c>
      <c r="H13" s="555"/>
      <c r="I13" s="500">
        <v>7</v>
      </c>
      <c r="J13" s="683"/>
      <c r="K13" s="170"/>
      <c r="L13" s="40"/>
      <c r="M13" s="40"/>
      <c r="N13" s="40"/>
      <c r="O13" s="40"/>
      <c r="P13" s="21"/>
      <c r="Q13" s="21"/>
    </row>
    <row r="14" spans="1:17" s="3" customFormat="1" ht="60.75" customHeight="1">
      <c r="A14" s="9" t="s">
        <v>103</v>
      </c>
      <c r="B14" s="60">
        <v>92</v>
      </c>
      <c r="C14" s="141">
        <v>92</v>
      </c>
      <c r="D14" s="141">
        <v>86</v>
      </c>
      <c r="E14" s="141">
        <f>E15+E16+E17+E18+E19</f>
        <v>86</v>
      </c>
      <c r="F14" s="61"/>
      <c r="G14" s="667">
        <f>E14/D14*100</f>
        <v>100</v>
      </c>
      <c r="H14" s="667"/>
      <c r="I14" s="668">
        <f>E14/C14*100</f>
        <v>93.478260869565219</v>
      </c>
      <c r="J14" s="730"/>
      <c r="K14" s="201"/>
      <c r="L14" s="71"/>
      <c r="M14" s="71"/>
      <c r="N14" s="28"/>
      <c r="O14" s="28"/>
      <c r="P14" s="97"/>
      <c r="Q14" s="97"/>
    </row>
    <row r="15" spans="1:17" s="3" customFormat="1" ht="20.100000000000001" customHeight="1">
      <c r="A15" s="8" t="s">
        <v>204</v>
      </c>
      <c r="B15" s="7">
        <v>4</v>
      </c>
      <c r="C15" s="7">
        <v>4</v>
      </c>
      <c r="D15" s="7">
        <v>4</v>
      </c>
      <c r="E15" s="7">
        <v>4</v>
      </c>
      <c r="F15" s="8"/>
      <c r="G15" s="667">
        <f>E15/D15*100</f>
        <v>100</v>
      </c>
      <c r="H15" s="667"/>
      <c r="I15" s="682">
        <v>100</v>
      </c>
      <c r="J15" s="683"/>
      <c r="K15" s="170"/>
      <c r="L15" s="71"/>
      <c r="M15" s="71"/>
      <c r="N15" s="28"/>
      <c r="O15" s="28"/>
      <c r="P15" s="97"/>
      <c r="Q15" s="97"/>
    </row>
    <row r="16" spans="1:17" s="3" customFormat="1" ht="20.100000000000001" customHeight="1">
      <c r="A16" s="8" t="s">
        <v>205</v>
      </c>
      <c r="B16" s="7">
        <v>7</v>
      </c>
      <c r="C16" s="7">
        <v>8</v>
      </c>
      <c r="D16" s="7">
        <v>6</v>
      </c>
      <c r="E16" s="7">
        <v>6</v>
      </c>
      <c r="F16" s="8"/>
      <c r="G16" s="667">
        <v>100</v>
      </c>
      <c r="H16" s="667"/>
      <c r="I16" s="682">
        <f>E16/C16*100</f>
        <v>75</v>
      </c>
      <c r="J16" s="690"/>
      <c r="K16" s="202"/>
      <c r="L16" s="71"/>
      <c r="M16" s="71"/>
      <c r="N16" s="28"/>
      <c r="O16" s="28"/>
      <c r="P16" s="97"/>
      <c r="Q16" s="97"/>
    </row>
    <row r="17" spans="1:17" s="3" customFormat="1" ht="20.100000000000001" customHeight="1">
      <c r="A17" s="8" t="s">
        <v>206</v>
      </c>
      <c r="B17" s="7">
        <v>2</v>
      </c>
      <c r="C17" s="7">
        <v>2</v>
      </c>
      <c r="D17" s="7">
        <v>2</v>
      </c>
      <c r="E17" s="7">
        <v>2</v>
      </c>
      <c r="F17" s="8"/>
      <c r="G17" s="667">
        <v>100</v>
      </c>
      <c r="H17" s="667"/>
      <c r="I17" s="682">
        <v>100</v>
      </c>
      <c r="J17" s="683"/>
      <c r="K17" s="170"/>
      <c r="L17" s="71"/>
      <c r="M17" s="71"/>
      <c r="N17" s="28"/>
      <c r="O17" s="28"/>
      <c r="P17" s="97"/>
      <c r="Q17" s="97"/>
    </row>
    <row r="18" spans="1:17" s="3" customFormat="1" ht="20.100000000000001" customHeight="1">
      <c r="A18" s="8" t="s">
        <v>207</v>
      </c>
      <c r="B18" s="7">
        <v>2</v>
      </c>
      <c r="C18" s="7">
        <v>2</v>
      </c>
      <c r="D18" s="7">
        <v>2</v>
      </c>
      <c r="E18" s="7">
        <v>2</v>
      </c>
      <c r="F18" s="8"/>
      <c r="G18" s="667">
        <v>100</v>
      </c>
      <c r="H18" s="667"/>
      <c r="I18" s="682">
        <v>100</v>
      </c>
      <c r="J18" s="683"/>
      <c r="K18" s="170"/>
      <c r="L18" s="71"/>
      <c r="M18" s="71"/>
      <c r="N18" s="28"/>
      <c r="O18" s="28"/>
      <c r="P18" s="97"/>
      <c r="Q18" s="97"/>
    </row>
    <row r="19" spans="1:17" s="3" customFormat="1" ht="20.100000000000001" customHeight="1">
      <c r="A19" s="8" t="s">
        <v>208</v>
      </c>
      <c r="B19" s="7">
        <v>76</v>
      </c>
      <c r="C19" s="7">
        <v>76</v>
      </c>
      <c r="D19" s="7">
        <v>72</v>
      </c>
      <c r="E19" s="7">
        <v>72</v>
      </c>
      <c r="F19" s="8"/>
      <c r="G19" s="667">
        <f>E19/D19*100</f>
        <v>100</v>
      </c>
      <c r="H19" s="667"/>
      <c r="I19" s="668">
        <f>E19/C19*100</f>
        <v>94.73684210526315</v>
      </c>
      <c r="J19" s="730"/>
      <c r="K19" s="201"/>
      <c r="L19" s="71"/>
      <c r="M19" s="71"/>
      <c r="N19" s="28"/>
      <c r="O19" s="28"/>
      <c r="P19" s="97"/>
      <c r="Q19" s="97"/>
    </row>
    <row r="20" spans="1:17" s="3" customFormat="1" ht="20.100000000000001" customHeight="1">
      <c r="A20" s="8" t="s">
        <v>209</v>
      </c>
      <c r="B20" s="8"/>
      <c r="C20" s="8"/>
      <c r="D20" s="8"/>
      <c r="E20" s="8"/>
      <c r="F20" s="8"/>
      <c r="G20" s="667"/>
      <c r="H20" s="667"/>
      <c r="I20" s="682"/>
      <c r="J20" s="683"/>
      <c r="K20" s="170"/>
      <c r="L20" s="71"/>
      <c r="M20" s="71"/>
      <c r="N20" s="28"/>
      <c r="O20" s="28"/>
      <c r="P20" s="97"/>
      <c r="Q20" s="97"/>
    </row>
    <row r="21" spans="1:17" s="3" customFormat="1" ht="20.100000000000001" customHeight="1">
      <c r="A21" s="9" t="s">
        <v>190</v>
      </c>
      <c r="B21" s="212">
        <f>B22+B23+B24</f>
        <v>5302</v>
      </c>
      <c r="C21" s="487">
        <f>C22+C23+C24</f>
        <v>6675.4</v>
      </c>
      <c r="D21" s="487">
        <v>6913</v>
      </c>
      <c r="E21" s="487">
        <f>'1.1.Фінансовий результат'!F104</f>
        <v>7436.7999999999993</v>
      </c>
      <c r="F21" s="9"/>
      <c r="G21" s="667">
        <f>E21/D21*100</f>
        <v>107.57702878634457</v>
      </c>
      <c r="H21" s="667"/>
      <c r="I21" s="668">
        <f t="shared" ref="I21:I36" si="0">E21/C21*100</f>
        <v>111.40605806393624</v>
      </c>
      <c r="J21" s="730"/>
      <c r="K21" s="201"/>
      <c r="L21" s="71"/>
      <c r="M21" s="71"/>
      <c r="N21" s="28"/>
      <c r="O21" s="28"/>
      <c r="P21" s="97"/>
      <c r="Q21" s="97"/>
    </row>
    <row r="22" spans="1:17" s="3" customFormat="1" ht="20.100000000000001" customHeight="1">
      <c r="A22" s="8" t="s">
        <v>181</v>
      </c>
      <c r="B22" s="489">
        <v>164.1</v>
      </c>
      <c r="C22" s="489">
        <v>200.9</v>
      </c>
      <c r="D22" s="489">
        <v>200.9</v>
      </c>
      <c r="E22" s="489">
        <v>200.9</v>
      </c>
      <c r="F22" s="8"/>
      <c r="G22" s="667">
        <f>E22/D22*100</f>
        <v>100</v>
      </c>
      <c r="H22" s="667"/>
      <c r="I22" s="668">
        <f t="shared" si="0"/>
        <v>100</v>
      </c>
      <c r="J22" s="669"/>
      <c r="K22" s="28"/>
      <c r="L22" s="71"/>
      <c r="M22" s="71"/>
      <c r="N22" s="28"/>
      <c r="O22" s="28"/>
      <c r="P22" s="97"/>
      <c r="Q22" s="97"/>
    </row>
    <row r="23" spans="1:17" s="3" customFormat="1" ht="41.25" customHeight="1">
      <c r="A23" s="8" t="s">
        <v>192</v>
      </c>
      <c r="B23" s="489">
        <v>814.6</v>
      </c>
      <c r="C23" s="489">
        <v>1019.6</v>
      </c>
      <c r="D23" s="489">
        <v>1024.2</v>
      </c>
      <c r="E23" s="489">
        <f>'1.1.Фінансовий результат'!F39-E22</f>
        <v>1085.3</v>
      </c>
      <c r="F23" s="8"/>
      <c r="G23" s="667">
        <f>E23/D23*100</f>
        <v>105.96563171255613</v>
      </c>
      <c r="H23" s="667"/>
      <c r="I23" s="668">
        <f t="shared" si="0"/>
        <v>106.44370341310317</v>
      </c>
      <c r="J23" s="730"/>
      <c r="K23" s="201"/>
      <c r="L23" s="71"/>
      <c r="M23" s="71"/>
      <c r="N23" s="28"/>
      <c r="O23" s="28"/>
      <c r="P23" s="97"/>
      <c r="Q23" s="97"/>
    </row>
    <row r="24" spans="1:17" s="3" customFormat="1" ht="20.100000000000001" customHeight="1">
      <c r="A24" s="8" t="s">
        <v>182</v>
      </c>
      <c r="B24" s="489">
        <v>4323.3</v>
      </c>
      <c r="C24" s="489">
        <v>5454.9</v>
      </c>
      <c r="D24" s="489">
        <v>5687.9</v>
      </c>
      <c r="E24" s="489">
        <f>E21-E22-E23</f>
        <v>6150.5999999999995</v>
      </c>
      <c r="F24" s="8"/>
      <c r="G24" s="667">
        <f>E24/D24*100</f>
        <v>108.13481249670353</v>
      </c>
      <c r="H24" s="667"/>
      <c r="I24" s="668">
        <f t="shared" si="0"/>
        <v>112.75367101138426</v>
      </c>
      <c r="J24" s="730"/>
      <c r="K24" s="201"/>
      <c r="L24" s="71"/>
      <c r="M24" s="71"/>
      <c r="N24" s="28"/>
      <c r="O24" s="28"/>
      <c r="P24" s="97"/>
      <c r="Q24" s="97"/>
    </row>
    <row r="25" spans="1:17" s="3" customFormat="1" ht="40.5" customHeight="1">
      <c r="A25" s="9" t="s">
        <v>191</v>
      </c>
      <c r="B25" s="212">
        <f>B26+B27+B28</f>
        <v>5302</v>
      </c>
      <c r="C25" s="487">
        <f t="shared" ref="C25:E28" si="1">C21</f>
        <v>6675.4</v>
      </c>
      <c r="D25" s="212">
        <v>6913</v>
      </c>
      <c r="E25" s="487">
        <f t="shared" si="1"/>
        <v>7436.7999999999993</v>
      </c>
      <c r="F25" s="9"/>
      <c r="G25" s="668">
        <f>G21</f>
        <v>107.57702878634457</v>
      </c>
      <c r="H25" s="669"/>
      <c r="I25" s="668">
        <f t="shared" si="0"/>
        <v>111.40605806393624</v>
      </c>
      <c r="J25" s="730"/>
      <c r="K25" s="201"/>
      <c r="L25" s="71"/>
      <c r="M25" s="71"/>
      <c r="N25" s="28"/>
      <c r="O25" s="28"/>
      <c r="P25" s="97"/>
      <c r="Q25" s="97"/>
    </row>
    <row r="26" spans="1:17" s="3" customFormat="1" ht="20.100000000000001" customHeight="1">
      <c r="A26" s="8" t="s">
        <v>181</v>
      </c>
      <c r="B26" s="489">
        <v>164.1</v>
      </c>
      <c r="C26" s="489">
        <f t="shared" si="1"/>
        <v>200.9</v>
      </c>
      <c r="D26" s="489">
        <v>200.9</v>
      </c>
      <c r="E26" s="489">
        <v>200.9</v>
      </c>
      <c r="F26" s="8"/>
      <c r="G26" s="667">
        <f t="shared" ref="G26:G36" si="2">E26/D26*100</f>
        <v>100</v>
      </c>
      <c r="H26" s="667"/>
      <c r="I26" s="668">
        <f t="shared" si="0"/>
        <v>100</v>
      </c>
      <c r="J26" s="730"/>
      <c r="K26" s="201"/>
      <c r="L26" s="71"/>
      <c r="M26" s="71"/>
      <c r="N26" s="28"/>
      <c r="O26" s="28"/>
      <c r="P26" s="97"/>
      <c r="Q26" s="97"/>
    </row>
    <row r="27" spans="1:17" s="3" customFormat="1" ht="20.100000000000001" customHeight="1">
      <c r="A27" s="8" t="s">
        <v>192</v>
      </c>
      <c r="B27" s="489">
        <v>814.6</v>
      </c>
      <c r="C27" s="489">
        <f t="shared" si="1"/>
        <v>1019.6</v>
      </c>
      <c r="D27" s="489">
        <v>1024.2</v>
      </c>
      <c r="E27" s="489">
        <f t="shared" si="1"/>
        <v>1085.3</v>
      </c>
      <c r="F27" s="8"/>
      <c r="G27" s="667">
        <f t="shared" si="2"/>
        <v>105.96563171255613</v>
      </c>
      <c r="H27" s="667"/>
      <c r="I27" s="668">
        <f t="shared" si="0"/>
        <v>106.44370341310317</v>
      </c>
      <c r="J27" s="730"/>
      <c r="K27" s="201"/>
      <c r="L27" s="71"/>
      <c r="M27" s="71"/>
      <c r="N27" s="28"/>
      <c r="O27" s="28"/>
      <c r="P27" s="97"/>
      <c r="Q27" s="97"/>
    </row>
    <row r="28" spans="1:17" s="3" customFormat="1" ht="20.100000000000001" customHeight="1">
      <c r="A28" s="8" t="s">
        <v>182</v>
      </c>
      <c r="B28" s="489">
        <v>4323.3</v>
      </c>
      <c r="C28" s="489">
        <f t="shared" si="1"/>
        <v>5454.9</v>
      </c>
      <c r="D28" s="489">
        <f>D25-D26-D27</f>
        <v>5687.9000000000005</v>
      </c>
      <c r="E28" s="489">
        <f t="shared" si="1"/>
        <v>6150.5999999999995</v>
      </c>
      <c r="F28" s="8"/>
      <c r="G28" s="667">
        <f t="shared" si="2"/>
        <v>108.13481249670352</v>
      </c>
      <c r="H28" s="667"/>
      <c r="I28" s="668">
        <f t="shared" si="0"/>
        <v>112.75367101138426</v>
      </c>
      <c r="J28" s="730"/>
      <c r="K28" s="201"/>
      <c r="L28" s="71"/>
      <c r="M28" s="71"/>
      <c r="N28" s="28"/>
      <c r="O28" s="28"/>
      <c r="P28" s="97"/>
      <c r="Q28" s="97"/>
    </row>
    <row r="29" spans="1:17" s="3" customFormat="1" ht="38.25" customHeight="1">
      <c r="A29" s="9" t="s">
        <v>210</v>
      </c>
      <c r="B29" s="487">
        <v>4803</v>
      </c>
      <c r="C29" s="491">
        <v>6047</v>
      </c>
      <c r="D29" s="491">
        <f>D25/D14/12*1000</f>
        <v>6698.6434108527137</v>
      </c>
      <c r="E29" s="491">
        <f>E25/E14/12*1000</f>
        <v>7206.2015503875964</v>
      </c>
      <c r="F29" s="9"/>
      <c r="G29" s="667">
        <f t="shared" si="2"/>
        <v>107.57702878634454</v>
      </c>
      <c r="H29" s="667"/>
      <c r="I29" s="668">
        <f t="shared" si="0"/>
        <v>119.16986192140891</v>
      </c>
      <c r="J29" s="730"/>
      <c r="K29" s="201"/>
      <c r="L29" s="71"/>
      <c r="M29" s="71"/>
      <c r="N29" s="28"/>
      <c r="O29" s="28"/>
      <c r="P29" s="97"/>
      <c r="Q29" s="97"/>
    </row>
    <row r="30" spans="1:17" s="3" customFormat="1" ht="20.100000000000001" customHeight="1">
      <c r="A30" s="8" t="s">
        <v>181</v>
      </c>
      <c r="B30" s="98">
        <v>13675</v>
      </c>
      <c r="C30" s="98">
        <v>16742</v>
      </c>
      <c r="D30" s="98">
        <v>16742</v>
      </c>
      <c r="E30" s="492">
        <f>E26/12*1000</f>
        <v>16741.666666666668</v>
      </c>
      <c r="F30" s="8"/>
      <c r="G30" s="667">
        <f t="shared" si="2"/>
        <v>99.998008999323062</v>
      </c>
      <c r="H30" s="667"/>
      <c r="I30" s="668">
        <f t="shared" si="0"/>
        <v>99.998008999323062</v>
      </c>
      <c r="J30" s="730"/>
      <c r="K30" s="201"/>
      <c r="L30" s="71"/>
      <c r="M30" s="71"/>
      <c r="N30" s="28"/>
      <c r="O30" s="28"/>
      <c r="P30" s="97"/>
      <c r="Q30" s="97"/>
    </row>
    <row r="31" spans="1:17" s="3" customFormat="1" ht="20.100000000000001" customHeight="1">
      <c r="A31" s="8" t="s">
        <v>192</v>
      </c>
      <c r="B31" s="98">
        <v>4526</v>
      </c>
      <c r="C31" s="98">
        <v>5664</v>
      </c>
      <c r="D31" s="492">
        <f>D27/13/12*1000</f>
        <v>6565.3846153846162</v>
      </c>
      <c r="E31" s="492">
        <f>E23/13/12*1000</f>
        <v>6957.0512820512813</v>
      </c>
      <c r="F31" s="8"/>
      <c r="G31" s="667">
        <f t="shared" si="2"/>
        <v>105.9656317125561</v>
      </c>
      <c r="H31" s="667"/>
      <c r="I31" s="668">
        <f t="shared" si="0"/>
        <v>122.82929523395624</v>
      </c>
      <c r="J31" s="730"/>
      <c r="K31" s="201"/>
      <c r="L31" s="71"/>
      <c r="M31" s="71"/>
      <c r="N31" s="28"/>
      <c r="O31" s="28"/>
      <c r="P31" s="97"/>
      <c r="Q31" s="97"/>
    </row>
    <row r="32" spans="1:17" s="3" customFormat="1" ht="20.100000000000001" customHeight="1">
      <c r="A32" s="8" t="s">
        <v>182</v>
      </c>
      <c r="B32" s="98">
        <v>4740</v>
      </c>
      <c r="C32" s="98">
        <v>5981</v>
      </c>
      <c r="D32" s="492">
        <f>D28/D19/12*1000</f>
        <v>6583.2175925925931</v>
      </c>
      <c r="E32" s="492">
        <f>E28/E19/12*1000</f>
        <v>7118.7499999999991</v>
      </c>
      <c r="F32" s="8"/>
      <c r="G32" s="667">
        <f t="shared" si="2"/>
        <v>108.13481249670352</v>
      </c>
      <c r="H32" s="667"/>
      <c r="I32" s="668">
        <f t="shared" si="0"/>
        <v>119.02273867246278</v>
      </c>
      <c r="J32" s="730"/>
      <c r="K32" s="201"/>
      <c r="L32" s="71"/>
      <c r="M32" s="71"/>
      <c r="N32" s="28"/>
      <c r="O32" s="28"/>
      <c r="P32" s="97"/>
      <c r="Q32" s="97"/>
    </row>
    <row r="33" spans="1:26" s="3" customFormat="1" ht="37.5" customHeight="1">
      <c r="A33" s="9" t="s">
        <v>211</v>
      </c>
      <c r="B33" s="487">
        <v>4803</v>
      </c>
      <c r="C33" s="491">
        <v>6047</v>
      </c>
      <c r="D33" s="491">
        <f>D29</f>
        <v>6698.6434108527137</v>
      </c>
      <c r="E33" s="491">
        <f t="shared" ref="C33:E36" si="3">E29</f>
        <v>7206.2015503875964</v>
      </c>
      <c r="F33" s="9"/>
      <c r="G33" s="667">
        <f t="shared" si="2"/>
        <v>107.57702878634454</v>
      </c>
      <c r="H33" s="667"/>
      <c r="I33" s="668">
        <f t="shared" si="0"/>
        <v>119.16986192140891</v>
      </c>
      <c r="J33" s="730"/>
      <c r="K33" s="201"/>
      <c r="L33" s="71"/>
      <c r="M33" s="71"/>
      <c r="N33" s="28"/>
      <c r="O33" s="28"/>
      <c r="P33" s="97"/>
      <c r="Q33" s="97"/>
    </row>
    <row r="34" spans="1:26" s="3" customFormat="1" ht="20.100000000000001" customHeight="1">
      <c r="A34" s="8" t="s">
        <v>181</v>
      </c>
      <c r="B34" s="98">
        <v>13675</v>
      </c>
      <c r="C34" s="492">
        <f t="shared" si="3"/>
        <v>16742</v>
      </c>
      <c r="D34" s="491">
        <f t="shared" si="3"/>
        <v>16742</v>
      </c>
      <c r="E34" s="492">
        <f t="shared" si="3"/>
        <v>16741.666666666668</v>
      </c>
      <c r="F34" s="8"/>
      <c r="G34" s="667">
        <f t="shared" si="2"/>
        <v>99.998008999323062</v>
      </c>
      <c r="H34" s="667"/>
      <c r="I34" s="668">
        <f t="shared" si="0"/>
        <v>99.998008999323062</v>
      </c>
      <c r="J34" s="730"/>
      <c r="K34" s="201"/>
      <c r="L34" s="71"/>
      <c r="M34" s="71"/>
      <c r="N34" s="28"/>
      <c r="O34" s="28"/>
      <c r="P34" s="97"/>
      <c r="Q34" s="97"/>
    </row>
    <row r="35" spans="1:26" s="3" customFormat="1" ht="20.100000000000001" customHeight="1">
      <c r="A35" s="8" t="s">
        <v>192</v>
      </c>
      <c r="B35" s="98">
        <v>4526</v>
      </c>
      <c r="C35" s="492">
        <f t="shared" si="3"/>
        <v>5664</v>
      </c>
      <c r="D35" s="491">
        <f t="shared" si="3"/>
        <v>6565.3846153846162</v>
      </c>
      <c r="E35" s="492">
        <f t="shared" si="3"/>
        <v>6957.0512820512813</v>
      </c>
      <c r="F35" s="8"/>
      <c r="G35" s="667">
        <f t="shared" si="2"/>
        <v>105.9656317125561</v>
      </c>
      <c r="H35" s="667"/>
      <c r="I35" s="668">
        <f t="shared" si="0"/>
        <v>122.82929523395624</v>
      </c>
      <c r="J35" s="730"/>
      <c r="K35" s="201"/>
      <c r="L35" s="71"/>
      <c r="M35" s="71"/>
      <c r="N35" s="28"/>
      <c r="O35" s="28"/>
      <c r="P35" s="97"/>
      <c r="Q35" s="97"/>
    </row>
    <row r="36" spans="1:26" s="3" customFormat="1" ht="20.100000000000001" customHeight="1">
      <c r="A36" s="8" t="s">
        <v>182</v>
      </c>
      <c r="B36" s="98">
        <v>4740</v>
      </c>
      <c r="C36" s="492">
        <f t="shared" si="3"/>
        <v>5981</v>
      </c>
      <c r="D36" s="491">
        <f t="shared" si="3"/>
        <v>6583.2175925925931</v>
      </c>
      <c r="E36" s="492">
        <f t="shared" si="3"/>
        <v>7118.7499999999991</v>
      </c>
      <c r="F36" s="8"/>
      <c r="G36" s="667">
        <f t="shared" si="2"/>
        <v>108.13481249670352</v>
      </c>
      <c r="H36" s="667"/>
      <c r="I36" s="668">
        <f t="shared" si="0"/>
        <v>119.02273867246278</v>
      </c>
      <c r="J36" s="730"/>
      <c r="K36" s="201"/>
      <c r="L36" s="71"/>
      <c r="M36" s="71"/>
      <c r="N36" s="28"/>
      <c r="O36" s="28"/>
      <c r="P36" s="97"/>
      <c r="Q36" s="97"/>
    </row>
    <row r="37" spans="1:26" ht="20.100000000000001" customHeight="1">
      <c r="A37" s="5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26" ht="21.95" customHeight="1">
      <c r="A38" s="29" t="s">
        <v>249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26" ht="20.100000000000001" customHeight="1">
      <c r="A39" s="16"/>
    </row>
    <row r="40" spans="1:26" ht="84" customHeight="1">
      <c r="A40" s="555" t="s">
        <v>183</v>
      </c>
      <c r="B40" s="670" t="s">
        <v>212</v>
      </c>
      <c r="C40" s="671"/>
      <c r="D40" s="670" t="s">
        <v>410</v>
      </c>
      <c r="E40" s="672"/>
      <c r="F40" s="252"/>
      <c r="G40" s="673" t="s">
        <v>395</v>
      </c>
      <c r="H40" s="674"/>
      <c r="I40" s="670" t="s">
        <v>393</v>
      </c>
      <c r="J40" s="681"/>
      <c r="K40" s="672"/>
      <c r="L40" s="673" t="s">
        <v>394</v>
      </c>
      <c r="M40" s="733"/>
      <c r="N40" s="40"/>
      <c r="O40" s="40"/>
      <c r="P40" s="40"/>
      <c r="Q40" s="40"/>
    </row>
    <row r="41" spans="1:26" ht="173.25" customHeight="1">
      <c r="A41" s="555"/>
      <c r="B41" s="250" t="s">
        <v>56</v>
      </c>
      <c r="C41" s="250" t="s">
        <v>392</v>
      </c>
      <c r="D41" s="244" t="s">
        <v>213</v>
      </c>
      <c r="E41" s="244" t="s">
        <v>214</v>
      </c>
      <c r="F41" s="244"/>
      <c r="G41" s="244" t="s">
        <v>213</v>
      </c>
      <c r="H41" s="244" t="s">
        <v>214</v>
      </c>
      <c r="I41" s="244" t="s">
        <v>213</v>
      </c>
      <c r="J41" s="244" t="s">
        <v>214</v>
      </c>
      <c r="K41" s="244"/>
      <c r="L41" s="244" t="s">
        <v>213</v>
      </c>
      <c r="M41" s="251" t="s">
        <v>214</v>
      </c>
      <c r="N41" s="40"/>
      <c r="O41" s="40"/>
      <c r="P41" s="40"/>
      <c r="Q41" s="40"/>
    </row>
    <row r="42" spans="1:26" ht="18" customHeight="1">
      <c r="A42" s="7">
        <v>1</v>
      </c>
      <c r="B42" s="7">
        <v>2</v>
      </c>
      <c r="C42" s="7">
        <v>3</v>
      </c>
      <c r="D42" s="7">
        <v>4</v>
      </c>
      <c r="E42" s="7">
        <v>5</v>
      </c>
      <c r="F42" s="7"/>
      <c r="G42" s="7">
        <v>6</v>
      </c>
      <c r="H42" s="7">
        <v>7</v>
      </c>
      <c r="I42" s="7">
        <v>8</v>
      </c>
      <c r="J42" s="7">
        <v>9</v>
      </c>
      <c r="K42" s="7"/>
      <c r="L42" s="7">
        <v>10</v>
      </c>
      <c r="M42" s="7">
        <v>11</v>
      </c>
      <c r="N42" s="21"/>
      <c r="O42" s="21"/>
      <c r="P42" s="21"/>
      <c r="Q42" s="21"/>
      <c r="Z42" s="22"/>
    </row>
    <row r="43" spans="1:26" ht="20.100000000000001" customHeight="1">
      <c r="A43" s="220" t="s">
        <v>296</v>
      </c>
      <c r="B43" s="10">
        <v>100</v>
      </c>
      <c r="C43" s="10">
        <v>100</v>
      </c>
      <c r="D43" s="10">
        <f>'1.1.Фінансовий результат'!C13</f>
        <v>12014</v>
      </c>
      <c r="E43" s="10"/>
      <c r="F43" s="10"/>
      <c r="G43" s="10">
        <f>'1.1.Фінансовий результат'!D13</f>
        <v>12962.1</v>
      </c>
      <c r="H43" s="56"/>
      <c r="I43" s="10">
        <f>'1.1.Фінансовий результат'!E13</f>
        <v>13410.4</v>
      </c>
      <c r="J43" s="56"/>
      <c r="K43" s="56"/>
      <c r="L43" s="10">
        <f>'1.1.Фінансовий результат'!F13</f>
        <v>15217</v>
      </c>
      <c r="M43" s="56"/>
      <c r="N43" s="71"/>
      <c r="O43" s="71"/>
      <c r="P43" s="71"/>
      <c r="Q43" s="71"/>
    </row>
    <row r="44" spans="1:26" ht="20.100000000000001" customHeight="1">
      <c r="A44" s="8"/>
      <c r="B44" s="10"/>
      <c r="C44" s="10"/>
      <c r="D44" s="10"/>
      <c r="E44" s="10"/>
      <c r="F44" s="10"/>
      <c r="G44" s="10"/>
      <c r="H44" s="56"/>
      <c r="I44" s="10"/>
      <c r="J44" s="56"/>
      <c r="K44" s="56"/>
      <c r="L44" s="10"/>
      <c r="M44" s="56"/>
      <c r="N44" s="71"/>
      <c r="O44" s="71"/>
      <c r="P44" s="71"/>
      <c r="Q44" s="71"/>
    </row>
    <row r="45" spans="1:26" ht="20.100000000000001" customHeight="1">
      <c r="A45" s="8" t="s">
        <v>40</v>
      </c>
      <c r="B45" s="82">
        <v>100</v>
      </c>
      <c r="C45" s="82">
        <f>C43</f>
        <v>100</v>
      </c>
      <c r="D45" s="82">
        <f>D43</f>
        <v>12014</v>
      </c>
      <c r="E45" s="82"/>
      <c r="F45" s="82"/>
      <c r="G45" s="82">
        <f>G43</f>
        <v>12962.1</v>
      </c>
      <c r="H45" s="57"/>
      <c r="I45" s="82">
        <f>I43</f>
        <v>13410.4</v>
      </c>
      <c r="J45" s="57"/>
      <c r="K45" s="57"/>
      <c r="L45" s="82">
        <f>L43</f>
        <v>15217</v>
      </c>
      <c r="M45" s="57"/>
      <c r="N45" s="72"/>
      <c r="O45" s="72"/>
      <c r="P45" s="72"/>
      <c r="Q45" s="72"/>
    </row>
    <row r="46" spans="1:26" ht="20.100000000000001" customHeight="1">
      <c r="A46" s="18"/>
      <c r="B46" s="19"/>
      <c r="C46" s="19"/>
      <c r="D46" s="19"/>
      <c r="E46" s="19"/>
      <c r="F46" s="19"/>
      <c r="G46" s="19"/>
      <c r="H46" s="19"/>
      <c r="I46" s="11"/>
      <c r="J46" s="11"/>
      <c r="K46" s="11"/>
      <c r="L46" s="5"/>
      <c r="M46" s="5"/>
      <c r="N46" s="5"/>
      <c r="O46" s="5"/>
      <c r="P46" s="5"/>
      <c r="Q46" s="5"/>
    </row>
    <row r="47" spans="1:26" ht="21.95" customHeight="1">
      <c r="A47" s="5" t="s">
        <v>232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26" ht="81.75" customHeight="1">
      <c r="A48" s="7" t="s">
        <v>99</v>
      </c>
      <c r="B48" s="500" t="s">
        <v>54</v>
      </c>
      <c r="C48" s="683"/>
      <c r="D48" s="184"/>
      <c r="E48" s="7" t="s">
        <v>235</v>
      </c>
      <c r="F48" s="7"/>
      <c r="G48" s="7" t="s">
        <v>51</v>
      </c>
      <c r="H48" s="7" t="s">
        <v>215</v>
      </c>
      <c r="I48" s="7" t="s">
        <v>65</v>
      </c>
      <c r="J48" s="500" t="s">
        <v>19</v>
      </c>
      <c r="K48" s="501"/>
      <c r="L48" s="684"/>
      <c r="M48" s="683"/>
      <c r="N48" s="40"/>
      <c r="O48" s="40"/>
      <c r="P48" s="40"/>
      <c r="Q48" s="40"/>
    </row>
    <row r="49" spans="1:17" ht="18" customHeight="1">
      <c r="A49" s="6">
        <v>1</v>
      </c>
      <c r="B49" s="500">
        <v>2</v>
      </c>
      <c r="C49" s="683"/>
      <c r="D49" s="184"/>
      <c r="E49" s="6">
        <v>3</v>
      </c>
      <c r="F49" s="6"/>
      <c r="G49" s="6">
        <v>4</v>
      </c>
      <c r="H49" s="6">
        <v>5</v>
      </c>
      <c r="I49" s="62">
        <v>6</v>
      </c>
      <c r="J49" s="500">
        <v>7</v>
      </c>
      <c r="K49" s="501"/>
      <c r="L49" s="684"/>
      <c r="M49" s="694"/>
      <c r="N49" s="21"/>
      <c r="O49" s="21"/>
      <c r="P49" s="21"/>
      <c r="Q49" s="21"/>
    </row>
    <row r="50" spans="1:17" ht="20.100000000000001" customHeight="1">
      <c r="A50" s="8"/>
      <c r="B50" s="682"/>
      <c r="C50" s="683"/>
      <c r="D50" s="184"/>
      <c r="E50" s="56"/>
      <c r="F50" s="56"/>
      <c r="G50" s="56"/>
      <c r="H50" s="56"/>
      <c r="I50" s="10"/>
      <c r="J50" s="500"/>
      <c r="K50" s="501"/>
      <c r="L50" s="684"/>
      <c r="M50" s="683"/>
      <c r="N50" s="71"/>
      <c r="O50" s="71"/>
      <c r="P50" s="71"/>
      <c r="Q50" s="71"/>
    </row>
    <row r="51" spans="1:17" ht="20.100000000000001" customHeight="1">
      <c r="A51" s="8"/>
      <c r="B51" s="682"/>
      <c r="C51" s="683"/>
      <c r="D51" s="184"/>
      <c r="E51" s="63"/>
      <c r="F51" s="63"/>
      <c r="G51" s="56"/>
      <c r="H51" s="63"/>
      <c r="I51" s="64"/>
      <c r="J51" s="500"/>
      <c r="K51" s="501"/>
      <c r="L51" s="684"/>
      <c r="M51" s="683"/>
      <c r="N51" s="71"/>
      <c r="O51" s="71"/>
      <c r="P51" s="71"/>
      <c r="Q51" s="71"/>
    </row>
    <row r="52" spans="1:17" ht="20.100000000000001" customHeight="1">
      <c r="A52" s="8"/>
      <c r="B52" s="682"/>
      <c r="C52" s="683"/>
      <c r="D52" s="184"/>
      <c r="E52" s="56"/>
      <c r="F52" s="56"/>
      <c r="G52" s="56"/>
      <c r="H52" s="56"/>
      <c r="I52" s="10"/>
      <c r="J52" s="500"/>
      <c r="K52" s="501"/>
      <c r="L52" s="684"/>
      <c r="M52" s="683"/>
      <c r="N52" s="71"/>
      <c r="O52" s="71"/>
      <c r="P52" s="71"/>
      <c r="Q52" s="71"/>
    </row>
    <row r="53" spans="1:17" ht="20.100000000000001" customHeight="1">
      <c r="A53" s="8" t="s">
        <v>40</v>
      </c>
      <c r="B53" s="500" t="s">
        <v>20</v>
      </c>
      <c r="C53" s="683"/>
      <c r="D53" s="184"/>
      <c r="E53" s="7"/>
      <c r="F53" s="7"/>
      <c r="G53" s="7" t="s">
        <v>20</v>
      </c>
      <c r="H53" s="7" t="s">
        <v>20</v>
      </c>
      <c r="I53" s="7"/>
      <c r="J53" s="500" t="s">
        <v>20</v>
      </c>
      <c r="K53" s="501"/>
      <c r="L53" s="684"/>
      <c r="M53" s="683"/>
      <c r="N53" s="71"/>
      <c r="O53" s="71"/>
      <c r="P53" s="71"/>
      <c r="Q53" s="71"/>
    </row>
    <row r="54" spans="1:17" ht="20.100000000000001" customHeight="1">
      <c r="A54" s="1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3"/>
      <c r="N54" s="3"/>
      <c r="O54" s="3"/>
      <c r="P54" s="3"/>
      <c r="Q54" s="3"/>
    </row>
    <row r="55" spans="1:17" ht="21.95" customHeight="1">
      <c r="A55" s="5" t="s">
        <v>233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20.100000000000001" customHeight="1">
      <c r="A56" s="5"/>
      <c r="B56" s="15"/>
      <c r="C56" s="15"/>
      <c r="D56" s="15"/>
      <c r="E56" s="5"/>
      <c r="F56" s="5"/>
      <c r="G56" s="5"/>
      <c r="H56" s="5"/>
      <c r="I56" s="5"/>
      <c r="J56" s="5"/>
      <c r="K56" s="5"/>
    </row>
    <row r="57" spans="1:17" ht="57.75" customHeight="1">
      <c r="A57" s="244" t="s">
        <v>50</v>
      </c>
      <c r="B57" s="670" t="s">
        <v>411</v>
      </c>
      <c r="C57" s="681"/>
      <c r="D57" s="672"/>
      <c r="E57" s="685" t="s">
        <v>225</v>
      </c>
      <c r="F57" s="686"/>
      <c r="G57" s="687"/>
      <c r="H57" s="732" t="s">
        <v>224</v>
      </c>
      <c r="I57" s="732"/>
      <c r="J57" s="685" t="s">
        <v>66</v>
      </c>
      <c r="K57" s="686"/>
      <c r="L57" s="731"/>
      <c r="M57" s="687"/>
      <c r="N57" s="40"/>
      <c r="O57" s="40"/>
      <c r="P57" s="40"/>
      <c r="Q57" s="40"/>
    </row>
    <row r="58" spans="1:17" ht="18" customHeight="1">
      <c r="A58" s="7">
        <v>1</v>
      </c>
      <c r="B58" s="500">
        <v>2</v>
      </c>
      <c r="C58" s="684"/>
      <c r="D58" s="101"/>
      <c r="E58" s="500">
        <v>3</v>
      </c>
      <c r="F58" s="501"/>
      <c r="G58" s="683"/>
      <c r="H58" s="728">
        <v>4</v>
      </c>
      <c r="I58" s="729"/>
      <c r="J58" s="500">
        <v>5</v>
      </c>
      <c r="K58" s="501"/>
      <c r="L58" s="693"/>
      <c r="M58" s="694"/>
      <c r="N58" s="21"/>
      <c r="O58" s="21"/>
      <c r="P58" s="21"/>
      <c r="Q58" s="21"/>
    </row>
    <row r="59" spans="1:17" ht="20.100000000000001" customHeight="1">
      <c r="A59" s="8" t="s">
        <v>216</v>
      </c>
      <c r="B59" s="679"/>
      <c r="C59" s="680"/>
      <c r="D59" s="187"/>
      <c r="E59" s="102"/>
      <c r="F59" s="136"/>
      <c r="G59" s="63"/>
      <c r="H59" s="105"/>
      <c r="I59" s="63"/>
      <c r="J59" s="103"/>
      <c r="K59" s="197"/>
      <c r="L59" s="101"/>
      <c r="M59" s="106"/>
      <c r="N59" s="71"/>
      <c r="O59" s="71"/>
      <c r="P59" s="71"/>
      <c r="Q59" s="71"/>
    </row>
    <row r="60" spans="1:17" ht="20.100000000000001" customHeight="1">
      <c r="A60" s="8" t="s">
        <v>79</v>
      </c>
      <c r="B60" s="679"/>
      <c r="C60" s="680"/>
      <c r="D60" s="187"/>
      <c r="E60" s="102"/>
      <c r="F60" s="136"/>
      <c r="G60" s="63"/>
      <c r="H60" s="105"/>
      <c r="I60" s="63"/>
      <c r="J60" s="103"/>
      <c r="K60" s="197"/>
      <c r="L60" s="101"/>
      <c r="M60" s="106"/>
      <c r="N60" s="71"/>
      <c r="O60" s="71"/>
      <c r="P60" s="71"/>
      <c r="Q60" s="71"/>
    </row>
    <row r="61" spans="1:17" ht="20.100000000000001" customHeight="1">
      <c r="A61" s="8"/>
      <c r="B61" s="679"/>
      <c r="C61" s="680"/>
      <c r="D61" s="187"/>
      <c r="E61" s="102"/>
      <c r="F61" s="136"/>
      <c r="G61" s="63"/>
      <c r="H61" s="105"/>
      <c r="I61" s="63"/>
      <c r="J61" s="103"/>
      <c r="K61" s="197"/>
      <c r="L61" s="101"/>
      <c r="M61" s="106"/>
      <c r="N61" s="71"/>
      <c r="O61" s="71"/>
      <c r="P61" s="71"/>
      <c r="Q61" s="71"/>
    </row>
    <row r="62" spans="1:17" ht="20.100000000000001" customHeight="1">
      <c r="A62" s="8" t="s">
        <v>217</v>
      </c>
      <c r="B62" s="679"/>
      <c r="C62" s="680"/>
      <c r="D62" s="187"/>
      <c r="E62" s="102"/>
      <c r="F62" s="136"/>
      <c r="G62" s="63"/>
      <c r="H62" s="105"/>
      <c r="I62" s="63"/>
      <c r="J62" s="103"/>
      <c r="K62" s="197"/>
      <c r="L62" s="101"/>
      <c r="M62" s="106"/>
      <c r="N62" s="71"/>
      <c r="O62" s="71"/>
      <c r="P62" s="71"/>
      <c r="Q62" s="71"/>
    </row>
    <row r="63" spans="1:17" ht="20.100000000000001" customHeight="1">
      <c r="A63" s="8" t="s">
        <v>80</v>
      </c>
      <c r="B63" s="679"/>
      <c r="C63" s="680"/>
      <c r="D63" s="187"/>
      <c r="E63" s="102"/>
      <c r="F63" s="136"/>
      <c r="G63" s="63"/>
      <c r="H63" s="105"/>
      <c r="I63" s="63"/>
      <c r="J63" s="103"/>
      <c r="K63" s="197"/>
      <c r="L63" s="101"/>
      <c r="M63" s="106"/>
      <c r="N63" s="71"/>
      <c r="O63" s="71"/>
      <c r="P63" s="71"/>
      <c r="Q63" s="71"/>
    </row>
    <row r="64" spans="1:17" ht="20.100000000000001" customHeight="1">
      <c r="A64" s="8"/>
      <c r="B64" s="679"/>
      <c r="C64" s="680"/>
      <c r="D64" s="187"/>
      <c r="E64" s="102"/>
      <c r="F64" s="136"/>
      <c r="G64" s="63"/>
      <c r="H64" s="105"/>
      <c r="I64" s="63"/>
      <c r="J64" s="103"/>
      <c r="K64" s="197"/>
      <c r="L64" s="101"/>
      <c r="M64" s="106"/>
      <c r="N64" s="71"/>
      <c r="O64" s="71"/>
      <c r="P64" s="71"/>
      <c r="Q64" s="71"/>
    </row>
    <row r="65" spans="1:36" ht="20.100000000000001" customHeight="1">
      <c r="A65" s="8" t="s">
        <v>218</v>
      </c>
      <c r="B65" s="679"/>
      <c r="C65" s="680"/>
      <c r="D65" s="187"/>
      <c r="E65" s="102"/>
      <c r="F65" s="136"/>
      <c r="G65" s="63"/>
      <c r="H65" s="105"/>
      <c r="I65" s="63"/>
      <c r="J65" s="103"/>
      <c r="K65" s="197"/>
      <c r="L65" s="101"/>
      <c r="M65" s="106"/>
      <c r="N65" s="71"/>
      <c r="O65" s="71"/>
      <c r="P65" s="71"/>
      <c r="Q65" s="71"/>
    </row>
    <row r="66" spans="1:36" ht="20.100000000000001" customHeight="1">
      <c r="A66" s="8" t="s">
        <v>79</v>
      </c>
      <c r="B66" s="679"/>
      <c r="C66" s="680"/>
      <c r="D66" s="187"/>
      <c r="E66" s="102"/>
      <c r="F66" s="136"/>
      <c r="G66" s="63"/>
      <c r="H66" s="105"/>
      <c r="I66" s="63"/>
      <c r="J66" s="103"/>
      <c r="K66" s="197"/>
      <c r="L66" s="101"/>
      <c r="M66" s="106"/>
      <c r="N66" s="71"/>
      <c r="O66" s="71"/>
      <c r="P66" s="71"/>
      <c r="Q66" s="71"/>
    </row>
    <row r="67" spans="1:36" ht="20.100000000000001" customHeight="1">
      <c r="A67" s="8"/>
      <c r="B67" s="679"/>
      <c r="C67" s="680"/>
      <c r="D67" s="187"/>
      <c r="E67" s="102"/>
      <c r="F67" s="136"/>
      <c r="G67" s="63"/>
      <c r="H67" s="105"/>
      <c r="I67" s="63"/>
      <c r="J67" s="103"/>
      <c r="K67" s="197"/>
      <c r="L67" s="101"/>
      <c r="M67" s="106"/>
      <c r="N67" s="71"/>
      <c r="O67" s="71"/>
      <c r="P67" s="71"/>
      <c r="Q67" s="71"/>
    </row>
    <row r="68" spans="1:36" ht="20.100000000000001" customHeight="1">
      <c r="A68" s="8" t="s">
        <v>40</v>
      </c>
      <c r="B68" s="679"/>
      <c r="C68" s="680"/>
      <c r="D68" s="187"/>
      <c r="E68" s="102"/>
      <c r="F68" s="136"/>
      <c r="G68" s="104"/>
      <c r="H68" s="105"/>
      <c r="I68" s="104"/>
      <c r="J68" s="107"/>
      <c r="K68" s="203"/>
      <c r="L68" s="101"/>
      <c r="M68" s="106"/>
      <c r="N68" s="71"/>
      <c r="O68" s="71"/>
      <c r="P68" s="71"/>
      <c r="Q68" s="71"/>
    </row>
    <row r="69" spans="1:36">
      <c r="E69" s="27"/>
      <c r="F69" s="27"/>
      <c r="G69" s="27"/>
      <c r="H69" s="27"/>
    </row>
    <row r="70" spans="1:36">
      <c r="A70" s="678" t="s">
        <v>250</v>
      </c>
      <c r="B70" s="678"/>
      <c r="C70" s="678"/>
      <c r="D70" s="678"/>
      <c r="E70" s="678"/>
      <c r="F70" s="678"/>
      <c r="G70" s="678"/>
      <c r="H70" s="678"/>
      <c r="I70" s="678"/>
      <c r="J70" s="678"/>
      <c r="K70" s="678"/>
      <c r="L70" s="678"/>
      <c r="M70" s="678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6" ht="18.75" customHeight="1">
      <c r="A71" s="691" t="s">
        <v>35</v>
      </c>
      <c r="B71" s="718" t="s">
        <v>145</v>
      </c>
      <c r="C71" s="719"/>
      <c r="D71" s="195"/>
      <c r="E71" s="688" t="s">
        <v>146</v>
      </c>
      <c r="F71" s="688" t="s">
        <v>299</v>
      </c>
      <c r="G71" s="688" t="s">
        <v>298</v>
      </c>
      <c r="H71" s="688" t="s">
        <v>147</v>
      </c>
      <c r="I71" s="598" t="s">
        <v>236</v>
      </c>
      <c r="J71" s="614"/>
      <c r="K71" s="614"/>
      <c r="L71" s="614"/>
      <c r="M71" s="614"/>
      <c r="N71" s="599"/>
      <c r="O71" s="40"/>
      <c r="P71" s="40"/>
      <c r="Q71" s="40"/>
      <c r="R71" s="40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</row>
    <row r="72" spans="1:36" ht="57" customHeight="1">
      <c r="A72" s="692"/>
      <c r="B72" s="720"/>
      <c r="C72" s="721"/>
      <c r="D72" s="196"/>
      <c r="E72" s="689"/>
      <c r="F72" s="689"/>
      <c r="G72" s="689"/>
      <c r="H72" s="689"/>
      <c r="I72" s="139" t="s">
        <v>148</v>
      </c>
      <c r="J72" s="198" t="s">
        <v>149</v>
      </c>
      <c r="K72" s="65" t="s">
        <v>397</v>
      </c>
      <c r="L72" s="199" t="s">
        <v>24</v>
      </c>
      <c r="M72" s="65" t="s">
        <v>150</v>
      </c>
      <c r="N72" s="140" t="s">
        <v>151</v>
      </c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21"/>
      <c r="AB72" s="21"/>
      <c r="AC72" s="21"/>
      <c r="AD72" s="21"/>
      <c r="AE72" s="21"/>
    </row>
    <row r="73" spans="1:36" ht="48" customHeight="1">
      <c r="A73" s="68" t="s">
        <v>396</v>
      </c>
      <c r="B73" s="676" t="s">
        <v>333</v>
      </c>
      <c r="C73" s="677"/>
      <c r="D73" s="186"/>
      <c r="E73" s="65" t="s">
        <v>332</v>
      </c>
      <c r="F73" s="65" t="s">
        <v>297</v>
      </c>
      <c r="G73" s="142" t="s">
        <v>401</v>
      </c>
      <c r="H73" s="86"/>
      <c r="I73" s="166" t="s">
        <v>402</v>
      </c>
      <c r="J73" s="164"/>
      <c r="K73" s="95" t="s">
        <v>398</v>
      </c>
      <c r="L73" s="165" t="s">
        <v>399</v>
      </c>
      <c r="M73" s="165" t="s">
        <v>400</v>
      </c>
      <c r="N73" s="66"/>
      <c r="O73" s="71"/>
      <c r="P73" s="71">
        <f>G73/2</f>
        <v>79.95</v>
      </c>
      <c r="Q73" s="71">
        <f>I73/2</f>
        <v>71.95</v>
      </c>
      <c r="R73" s="71">
        <f t="shared" ref="R73:U73" si="4">J73/2</f>
        <v>0</v>
      </c>
      <c r="S73" s="71">
        <f t="shared" si="4"/>
        <v>6</v>
      </c>
      <c r="T73" s="482">
        <f t="shared" si="4"/>
        <v>1.3</v>
      </c>
      <c r="U73" s="473">
        <f t="shared" si="4"/>
        <v>0.7</v>
      </c>
      <c r="V73" s="71"/>
      <c r="W73" s="71"/>
      <c r="X73" s="71"/>
      <c r="Y73" s="71"/>
      <c r="Z73" s="71"/>
      <c r="AA73" s="71"/>
      <c r="AB73" s="71"/>
      <c r="AC73" s="71"/>
      <c r="AD73" s="71"/>
      <c r="AE73" s="71"/>
    </row>
    <row r="74" spans="1:36">
      <c r="A74" s="20"/>
      <c r="B74" s="158"/>
      <c r="C74" s="159"/>
      <c r="D74" s="159"/>
      <c r="E74" s="73"/>
      <c r="F74" s="73"/>
      <c r="G74" s="160"/>
      <c r="H74" s="161"/>
      <c r="I74" s="162"/>
      <c r="J74" s="162"/>
      <c r="K74" s="162"/>
      <c r="L74" s="162"/>
      <c r="M74" s="162"/>
      <c r="N74" s="74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J74" s="4"/>
    </row>
    <row r="75" spans="1:36">
      <c r="A75" s="678" t="s">
        <v>251</v>
      </c>
      <c r="B75" s="678"/>
      <c r="C75" s="678"/>
      <c r="D75" s="678"/>
      <c r="E75" s="678"/>
      <c r="F75" s="678"/>
      <c r="G75" s="678"/>
      <c r="H75" s="678"/>
      <c r="I75" s="678"/>
      <c r="J75" s="678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</row>
    <row r="76" spans="1:36" ht="18.75" customHeight="1">
      <c r="A76" s="724" t="s">
        <v>35</v>
      </c>
      <c r="B76" s="712" t="s">
        <v>152</v>
      </c>
      <c r="C76" s="713"/>
      <c r="D76" s="188"/>
      <c r="E76" s="706" t="s">
        <v>145</v>
      </c>
      <c r="F76" s="706" t="s">
        <v>223</v>
      </c>
      <c r="G76" s="706" t="s">
        <v>298</v>
      </c>
      <c r="H76" s="706" t="s">
        <v>153</v>
      </c>
      <c r="I76" s="500" t="s">
        <v>154</v>
      </c>
      <c r="J76" s="501"/>
      <c r="K76" s="501"/>
      <c r="L76" s="501"/>
      <c r="M76" s="501"/>
      <c r="N76" s="567"/>
      <c r="O76" s="40"/>
      <c r="P76" s="40"/>
      <c r="Q76" s="40"/>
      <c r="R76" s="40"/>
      <c r="S76" s="40"/>
      <c r="T76" s="40"/>
      <c r="U76" s="40"/>
      <c r="V76" s="40"/>
      <c r="W76" s="40"/>
      <c r="X76" s="21"/>
      <c r="Y76" s="21"/>
      <c r="Z76" s="21"/>
      <c r="AA76" s="21"/>
      <c r="AB76" s="21"/>
      <c r="AC76" s="21"/>
      <c r="AD76" s="21"/>
      <c r="AE76" s="21"/>
    </row>
    <row r="77" spans="1:36" ht="18.75" customHeight="1">
      <c r="A77" s="725"/>
      <c r="B77" s="714"/>
      <c r="C77" s="715"/>
      <c r="D77" s="189"/>
      <c r="E77" s="711"/>
      <c r="F77" s="711"/>
      <c r="G77" s="711"/>
      <c r="H77" s="711"/>
      <c r="I77" s="706" t="s">
        <v>155</v>
      </c>
      <c r="J77" s="500" t="s">
        <v>75</v>
      </c>
      <c r="K77" s="501"/>
      <c r="L77" s="501"/>
      <c r="M77" s="501"/>
      <c r="N77" s="567"/>
      <c r="O77" s="40"/>
      <c r="P77" s="40"/>
      <c r="Q77" s="40"/>
      <c r="R77" s="40"/>
      <c r="S77" s="40"/>
      <c r="T77" s="40"/>
      <c r="U77" s="40"/>
      <c r="V77" s="40"/>
      <c r="W77" s="40"/>
      <c r="X77" s="21"/>
      <c r="Y77" s="21"/>
      <c r="Z77" s="21"/>
      <c r="AA77" s="21"/>
      <c r="AB77" s="21"/>
      <c r="AC77" s="21"/>
      <c r="AD77" s="21"/>
      <c r="AE77" s="21"/>
    </row>
    <row r="78" spans="1:36" ht="11.25" customHeight="1">
      <c r="A78" s="726"/>
      <c r="B78" s="716"/>
      <c r="C78" s="717"/>
      <c r="D78" s="190"/>
      <c r="E78" s="707"/>
      <c r="F78" s="707"/>
      <c r="G78" s="707"/>
      <c r="H78" s="707"/>
      <c r="I78" s="707"/>
      <c r="J78" s="7" t="s">
        <v>237</v>
      </c>
      <c r="K78" s="7"/>
      <c r="L78" s="7" t="s">
        <v>238</v>
      </c>
      <c r="M78" s="7" t="s">
        <v>239</v>
      </c>
      <c r="N78" s="7" t="s">
        <v>240</v>
      </c>
      <c r="O78" s="40"/>
      <c r="P78" s="40"/>
      <c r="Q78" s="40"/>
      <c r="R78" s="40"/>
      <c r="S78" s="40"/>
      <c r="T78" s="40"/>
      <c r="U78" s="40"/>
      <c r="V78" s="40"/>
      <c r="W78" s="40"/>
      <c r="X78" s="21"/>
      <c r="Y78" s="21"/>
      <c r="Z78" s="21"/>
      <c r="AA78" s="21"/>
      <c r="AB78" s="21"/>
      <c r="AC78" s="21"/>
      <c r="AD78" s="21"/>
      <c r="AE78" s="21"/>
    </row>
    <row r="79" spans="1:36">
      <c r="A79" s="45">
        <v>1</v>
      </c>
      <c r="B79" s="676">
        <v>2</v>
      </c>
      <c r="C79" s="677"/>
      <c r="D79" s="186"/>
      <c r="E79" s="65">
        <v>3</v>
      </c>
      <c r="F79" s="65"/>
      <c r="G79" s="65">
        <v>4</v>
      </c>
      <c r="H79" s="65">
        <v>5</v>
      </c>
      <c r="I79" s="65">
        <v>6</v>
      </c>
      <c r="J79" s="65">
        <v>7</v>
      </c>
      <c r="K79" s="65"/>
      <c r="L79" s="65">
        <v>8</v>
      </c>
      <c r="M79" s="65">
        <v>9</v>
      </c>
      <c r="N79" s="65">
        <v>10</v>
      </c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50"/>
      <c r="AA79" s="50"/>
      <c r="AB79" s="50"/>
      <c r="AC79" s="50"/>
      <c r="AD79" s="50"/>
      <c r="AE79" s="50"/>
    </row>
    <row r="80" spans="1:36">
      <c r="A80" s="68" t="s">
        <v>40</v>
      </c>
      <c r="B80" s="722"/>
      <c r="C80" s="723"/>
      <c r="D80" s="191"/>
      <c r="E80" s="68"/>
      <c r="F80" s="68"/>
      <c r="G80" s="68"/>
      <c r="H80" s="68"/>
      <c r="I80" s="85">
        <v>0</v>
      </c>
      <c r="J80" s="68"/>
      <c r="K80" s="68"/>
      <c r="L80" s="68"/>
      <c r="M80" s="68"/>
      <c r="N80" s="68"/>
      <c r="O80" s="20"/>
      <c r="P80" s="20"/>
      <c r="Q80" s="20"/>
      <c r="R80" s="20"/>
      <c r="S80" s="20"/>
      <c r="T80" s="20"/>
      <c r="U80" s="20"/>
      <c r="V80" s="20"/>
      <c r="W80" s="20"/>
      <c r="X80" s="71"/>
      <c r="Y80" s="71"/>
      <c r="Z80" s="71"/>
      <c r="AA80" s="71"/>
      <c r="AB80" s="71"/>
      <c r="AC80" s="71"/>
      <c r="AD80" s="71"/>
      <c r="AE80" s="71"/>
    </row>
    <row r="81" spans="1:35">
      <c r="A81" s="678" t="s">
        <v>234</v>
      </c>
      <c r="B81" s="678"/>
      <c r="C81" s="678"/>
      <c r="D81" s="678"/>
      <c r="E81" s="678"/>
      <c r="F81" s="678"/>
      <c r="G81" s="678"/>
      <c r="H81" s="678"/>
      <c r="I81" s="22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22"/>
      <c r="Y81" s="727" t="s">
        <v>172</v>
      </c>
      <c r="Z81" s="727"/>
      <c r="AA81" s="727"/>
      <c r="AB81" s="727"/>
      <c r="AC81" s="727"/>
      <c r="AD81" s="727"/>
      <c r="AE81" s="727"/>
    </row>
    <row r="82" spans="1:35" ht="18.75" customHeight="1">
      <c r="A82" s="555" t="s">
        <v>35</v>
      </c>
      <c r="B82" s="698" t="s">
        <v>173</v>
      </c>
      <c r="C82" s="699"/>
      <c r="D82" s="105"/>
      <c r="E82" s="501" t="s">
        <v>39</v>
      </c>
      <c r="F82" s="501"/>
      <c r="G82" s="501"/>
      <c r="H82" s="501"/>
      <c r="I82" s="501"/>
      <c r="J82" s="567"/>
      <c r="K82" s="470"/>
      <c r="L82" s="500" t="s">
        <v>67</v>
      </c>
      <c r="M82" s="709"/>
      <c r="N82" s="709"/>
      <c r="O82" s="709"/>
      <c r="P82" s="710"/>
      <c r="Q82" s="500" t="s">
        <v>197</v>
      </c>
      <c r="R82" s="709"/>
      <c r="S82" s="709"/>
      <c r="T82" s="709"/>
      <c r="U82" s="710"/>
      <c r="V82" s="500" t="s">
        <v>100</v>
      </c>
      <c r="W82" s="709"/>
      <c r="X82" s="709"/>
      <c r="Y82" s="709"/>
      <c r="Z82" s="710"/>
      <c r="AA82" s="500" t="s">
        <v>40</v>
      </c>
      <c r="AB82" s="501"/>
      <c r="AC82" s="501"/>
      <c r="AD82" s="501"/>
      <c r="AE82" s="567"/>
    </row>
    <row r="83" spans="1:35" ht="51.75" customHeight="1">
      <c r="A83" s="555"/>
      <c r="B83" s="708"/>
      <c r="C83" s="701"/>
      <c r="D83" s="706" t="s">
        <v>104</v>
      </c>
      <c r="E83" s="698" t="s">
        <v>75</v>
      </c>
      <c r="F83" s="742"/>
      <c r="G83" s="742"/>
      <c r="H83" s="742"/>
      <c r="I83" s="742"/>
      <c r="J83" s="742"/>
      <c r="K83" s="743"/>
      <c r="L83" s="706" t="s">
        <v>104</v>
      </c>
      <c r="M83" s="500" t="s">
        <v>75</v>
      </c>
      <c r="N83" s="709"/>
      <c r="O83" s="709"/>
      <c r="P83" s="710"/>
      <c r="Q83" s="476" t="s">
        <v>331</v>
      </c>
      <c r="R83" s="500" t="s">
        <v>75</v>
      </c>
      <c r="S83" s="709"/>
      <c r="T83" s="709"/>
      <c r="U83" s="710"/>
      <c r="V83" s="476" t="s">
        <v>329</v>
      </c>
      <c r="W83" s="500" t="s">
        <v>330</v>
      </c>
      <c r="X83" s="709"/>
      <c r="Y83" s="709"/>
      <c r="Z83" s="710"/>
      <c r="AA83" s="471" t="s">
        <v>331</v>
      </c>
      <c r="AB83" s="500" t="s">
        <v>330</v>
      </c>
      <c r="AC83" s="501"/>
      <c r="AD83" s="501"/>
      <c r="AE83" s="567"/>
    </row>
    <row r="84" spans="1:35" ht="51.75" customHeight="1">
      <c r="A84" s="471"/>
      <c r="B84" s="478"/>
      <c r="C84" s="479"/>
      <c r="D84" s="707"/>
      <c r="E84" s="476" t="s">
        <v>546</v>
      </c>
      <c r="F84" s="477"/>
      <c r="G84" s="311" t="s">
        <v>547</v>
      </c>
      <c r="H84" s="484"/>
      <c r="I84" s="311" t="s">
        <v>548</v>
      </c>
      <c r="J84" s="484"/>
      <c r="L84" s="707"/>
      <c r="M84" s="469"/>
      <c r="N84" s="485"/>
      <c r="O84" s="485"/>
      <c r="P84" s="486"/>
      <c r="Q84" s="476"/>
      <c r="R84" s="469"/>
      <c r="S84" s="485"/>
      <c r="T84" s="485"/>
      <c r="U84" s="486"/>
      <c r="V84" s="476"/>
      <c r="W84" s="469"/>
      <c r="X84" s="485"/>
      <c r="Y84" s="485"/>
      <c r="Z84" s="486"/>
      <c r="AA84" s="471"/>
      <c r="AB84" s="469"/>
      <c r="AC84" s="470"/>
      <c r="AD84" s="470"/>
      <c r="AE84" s="472"/>
    </row>
    <row r="85" spans="1:35">
      <c r="A85" s="7">
        <v>1</v>
      </c>
      <c r="B85" s="500">
        <v>2</v>
      </c>
      <c r="C85" s="683"/>
      <c r="D85" s="204">
        <v>3</v>
      </c>
      <c r="E85" s="7">
        <v>4</v>
      </c>
      <c r="F85" s="7"/>
      <c r="G85" s="7">
        <v>5</v>
      </c>
      <c r="H85" s="7">
        <v>5</v>
      </c>
      <c r="I85" s="7">
        <v>6</v>
      </c>
      <c r="J85" s="7">
        <v>7</v>
      </c>
      <c r="L85" s="7">
        <v>8</v>
      </c>
      <c r="M85" s="7">
        <v>9</v>
      </c>
      <c r="N85" s="7">
        <v>10</v>
      </c>
      <c r="O85" s="7">
        <v>11</v>
      </c>
      <c r="P85" s="7">
        <v>12</v>
      </c>
      <c r="Q85" s="7">
        <v>13</v>
      </c>
      <c r="R85" s="7">
        <v>14</v>
      </c>
      <c r="S85" s="7">
        <v>15</v>
      </c>
      <c r="T85" s="7">
        <v>16</v>
      </c>
      <c r="U85" s="7">
        <v>17</v>
      </c>
      <c r="V85" s="7">
        <v>18</v>
      </c>
      <c r="W85" s="7">
        <v>19</v>
      </c>
      <c r="X85" s="6">
        <v>20</v>
      </c>
      <c r="Y85" s="6">
        <v>21</v>
      </c>
      <c r="Z85" s="6">
        <v>22</v>
      </c>
      <c r="AA85" s="6">
        <v>23</v>
      </c>
      <c r="AB85" s="6">
        <v>24</v>
      </c>
      <c r="AC85" s="6">
        <v>25</v>
      </c>
      <c r="AD85" s="6">
        <v>26</v>
      </c>
      <c r="AE85" s="6">
        <v>27</v>
      </c>
    </row>
    <row r="86" spans="1:35" ht="69.75" customHeight="1">
      <c r="A86" s="67"/>
      <c r="B86" s="704" t="str">
        <f>'4.Кап. інвестиції'!A10</f>
        <v>Придбання автомобіля МАЗ 437№2 Супер Міні( для вивезення сміття з кладовищ міста)</v>
      </c>
      <c r="C86" s="705"/>
      <c r="D86" s="205">
        <v>0</v>
      </c>
      <c r="E86" s="84"/>
      <c r="F86" s="84"/>
      <c r="G86" s="95"/>
      <c r="H86" s="95"/>
      <c r="I86" s="58"/>
      <c r="J86" s="58"/>
      <c r="L86" s="94">
        <f>M86+N86+O86+P86</f>
        <v>0</v>
      </c>
      <c r="M86" s="401">
        <f>'4.Кап. інвестиції'!D10</f>
        <v>0</v>
      </c>
      <c r="N86" s="171">
        <v>0</v>
      </c>
      <c r="O86" s="94">
        <v>0</v>
      </c>
      <c r="P86" s="94">
        <v>0</v>
      </c>
      <c r="Q86" s="94">
        <v>0</v>
      </c>
      <c r="R86" s="96">
        <v>0</v>
      </c>
      <c r="S86" s="96">
        <v>0</v>
      </c>
      <c r="T86" s="96">
        <v>0</v>
      </c>
      <c r="U86" s="96">
        <v>0</v>
      </c>
      <c r="V86" s="94"/>
      <c r="W86" s="96"/>
      <c r="X86" s="96"/>
      <c r="Y86" s="96"/>
      <c r="Z86" s="96"/>
      <c r="AA86" s="94">
        <f>AB86+AC86+AD86+AE86</f>
        <v>0</v>
      </c>
      <c r="AB86" s="147">
        <f>E86+M86+R86+W86</f>
        <v>0</v>
      </c>
      <c r="AC86" s="147">
        <f>F86+N86+S86+X86</f>
        <v>0</v>
      </c>
      <c r="AD86" s="147">
        <f t="shared" ref="AD86:AE86" si="5">G86+O86+T86+Y86</f>
        <v>0</v>
      </c>
      <c r="AE86" s="147">
        <f t="shared" si="5"/>
        <v>0</v>
      </c>
    </row>
    <row r="87" spans="1:35" ht="65.25" customHeight="1">
      <c r="A87" s="67"/>
      <c r="B87" s="704" t="str">
        <f>'4.Кап. інвестиції'!A11</f>
        <v xml:space="preserve">Придбання 50 контейнерів для збирання твердих побутових відходів 1,1м3 на кладовище міста </v>
      </c>
      <c r="C87" s="705"/>
      <c r="D87" s="205">
        <v>0</v>
      </c>
      <c r="E87" s="84"/>
      <c r="F87" s="84"/>
      <c r="G87" s="95"/>
      <c r="H87" s="95"/>
      <c r="I87" s="58"/>
      <c r="J87" s="58"/>
      <c r="L87" s="94">
        <f>M87+N87+O87+P87</f>
        <v>474.9</v>
      </c>
      <c r="M87" s="94">
        <f>'4.Кап. інвестиції'!D11</f>
        <v>474.9</v>
      </c>
      <c r="N87" s="171">
        <v>0</v>
      </c>
      <c r="O87" s="94">
        <v>0</v>
      </c>
      <c r="P87" s="94">
        <v>0</v>
      </c>
      <c r="Q87" s="94">
        <v>0</v>
      </c>
      <c r="R87" s="96">
        <v>0</v>
      </c>
      <c r="S87" s="96">
        <v>0</v>
      </c>
      <c r="T87" s="96">
        <v>0</v>
      </c>
      <c r="U87" s="96">
        <v>0</v>
      </c>
      <c r="V87" s="94"/>
      <c r="W87" s="96"/>
      <c r="X87" s="96"/>
      <c r="Y87" s="96"/>
      <c r="Z87" s="96"/>
      <c r="AA87" s="474">
        <f t="shared" ref="AA87:AA89" si="6">AB87+AC87+AD87+AE87</f>
        <v>474.9</v>
      </c>
      <c r="AB87" s="147">
        <f t="shared" ref="AB87:AB89" si="7">E87+M87+R87+W87</f>
        <v>474.9</v>
      </c>
      <c r="AC87" s="147">
        <f>F87+N87+S87+X87</f>
        <v>0</v>
      </c>
      <c r="AD87" s="147">
        <f t="shared" ref="AD87:AD89" si="8">G87+O87+T87+Y87</f>
        <v>0</v>
      </c>
      <c r="AE87" s="147">
        <f t="shared" ref="AE87:AE89" si="9">H87+P87+U87+Z87</f>
        <v>0</v>
      </c>
    </row>
    <row r="88" spans="1:35" ht="65.25" customHeight="1">
      <c r="A88" s="67"/>
      <c r="B88" s="704" t="str">
        <f>'4.Кап. інвестиції'!A12</f>
        <v>Придбання   автомобіля (автомобіля вантажопасажирського) марки FORD TRANSIT Y363 Kombi          для транспортування до моргу померлих на судмедекспертизу</v>
      </c>
      <c r="C88" s="705"/>
      <c r="D88" s="205"/>
      <c r="E88" s="400"/>
      <c r="F88" s="400"/>
      <c r="G88" s="95"/>
      <c r="H88" s="95"/>
      <c r="I88" s="399"/>
      <c r="J88" s="399"/>
      <c r="L88" s="401"/>
      <c r="M88" s="401"/>
      <c r="N88" s="171"/>
      <c r="O88" s="401"/>
      <c r="P88" s="401"/>
      <c r="Q88" s="401"/>
      <c r="R88" s="96"/>
      <c r="S88" s="96"/>
      <c r="T88" s="96"/>
      <c r="U88" s="96"/>
      <c r="V88" s="401"/>
      <c r="W88" s="96"/>
      <c r="X88" s="96"/>
      <c r="Y88" s="96"/>
      <c r="Z88" s="96"/>
      <c r="AA88" s="474">
        <f t="shared" si="6"/>
        <v>0</v>
      </c>
      <c r="AB88" s="147">
        <f t="shared" si="7"/>
        <v>0</v>
      </c>
      <c r="AC88" s="147">
        <f>F88+N88+S88+X88</f>
        <v>0</v>
      </c>
      <c r="AD88" s="147">
        <f t="shared" si="8"/>
        <v>0</v>
      </c>
      <c r="AE88" s="147">
        <f t="shared" si="9"/>
        <v>0</v>
      </c>
    </row>
    <row r="89" spans="1:35" ht="65.25" customHeight="1">
      <c r="A89" s="67"/>
      <c r="B89" s="704" t="str">
        <f>'4.Кап. інвестиції'!A13</f>
        <v>Придбання   автобуса (автомобіля вантажопасажирського) марки АТАМАН  для перевезення людей під час проведення поховання</v>
      </c>
      <c r="C89" s="705"/>
      <c r="D89" s="205"/>
      <c r="E89" s="400"/>
      <c r="F89" s="400"/>
      <c r="G89" s="95"/>
      <c r="H89" s="95"/>
      <c r="I89" s="399"/>
      <c r="J89" s="399"/>
      <c r="L89" s="401"/>
      <c r="M89" s="401"/>
      <c r="N89" s="171">
        <f>'4.Кап. інвестиції'!D13</f>
        <v>1998</v>
      </c>
      <c r="O89" s="171"/>
      <c r="P89" s="171"/>
      <c r="Q89" s="401"/>
      <c r="R89" s="96"/>
      <c r="S89" s="96"/>
      <c r="T89" s="96"/>
      <c r="U89" s="96"/>
      <c r="V89" s="401"/>
      <c r="W89" s="96"/>
      <c r="X89" s="96"/>
      <c r="Y89" s="96"/>
      <c r="Z89" s="96"/>
      <c r="AA89" s="474">
        <f t="shared" si="6"/>
        <v>1998</v>
      </c>
      <c r="AB89" s="147">
        <f t="shared" si="7"/>
        <v>0</v>
      </c>
      <c r="AC89" s="147">
        <f>F89+N89+S89+X89</f>
        <v>1998</v>
      </c>
      <c r="AD89" s="147">
        <f t="shared" si="8"/>
        <v>0</v>
      </c>
      <c r="AE89" s="147">
        <f t="shared" si="9"/>
        <v>0</v>
      </c>
    </row>
    <row r="90" spans="1:35">
      <c r="A90" s="181" t="s">
        <v>40</v>
      </c>
      <c r="B90" s="695"/>
      <c r="C90" s="696"/>
      <c r="D90" s="205">
        <v>0</v>
      </c>
      <c r="E90" s="180">
        <f>SUM(E86:E86)</f>
        <v>0</v>
      </c>
      <c r="F90" s="180"/>
      <c r="G90" s="181"/>
      <c r="H90" s="181"/>
      <c r="I90" s="57"/>
      <c r="J90" s="57"/>
      <c r="L90" s="122">
        <f>L86+L87</f>
        <v>474.9</v>
      </c>
      <c r="M90" s="122">
        <f>M86+M87+M88+M89</f>
        <v>474.9</v>
      </c>
      <c r="N90" s="122">
        <f t="shared" ref="N90:P90" si="10">N86+N87+N88+N89</f>
        <v>1998</v>
      </c>
      <c r="O90" s="122">
        <f t="shared" si="10"/>
        <v>0</v>
      </c>
      <c r="P90" s="122">
        <f t="shared" si="10"/>
        <v>0</v>
      </c>
      <c r="Q90" s="122">
        <v>0</v>
      </c>
      <c r="R90" s="122"/>
      <c r="S90" s="122"/>
      <c r="T90" s="122"/>
      <c r="U90" s="122"/>
      <c r="V90" s="122"/>
      <c r="W90" s="182"/>
      <c r="X90" s="182"/>
      <c r="Y90" s="182"/>
      <c r="Z90" s="182"/>
      <c r="AA90" s="122">
        <f>AA86+AA87+AA88+AA89</f>
        <v>2472.9</v>
      </c>
      <c r="AB90" s="122">
        <f>AB86+AB87+AB88+AB89</f>
        <v>474.9</v>
      </c>
      <c r="AC90" s="122">
        <f t="shared" ref="AC90:AE90" si="11">AC86+AC87+AC88+AC89</f>
        <v>1998</v>
      </c>
      <c r="AD90" s="122">
        <f t="shared" si="11"/>
        <v>0</v>
      </c>
      <c r="AE90" s="122">
        <f t="shared" si="11"/>
        <v>0</v>
      </c>
    </row>
    <row r="91" spans="1:35" ht="21.75" customHeight="1">
      <c r="A91" s="8" t="s">
        <v>41</v>
      </c>
      <c r="B91" s="679"/>
      <c r="C91" s="696"/>
      <c r="D91" s="185"/>
      <c r="E91" s="8"/>
      <c r="F91" s="8"/>
      <c r="G91" s="8"/>
      <c r="H91" s="7">
        <f>H90/AA90*100</f>
        <v>0</v>
      </c>
      <c r="I91" s="59"/>
      <c r="J91" s="59"/>
      <c r="L91" s="183">
        <v>100</v>
      </c>
      <c r="M91" s="59">
        <v>0</v>
      </c>
      <c r="N91" s="183"/>
      <c r="O91" s="183"/>
      <c r="P91" s="183"/>
      <c r="Q91" s="183">
        <v>0</v>
      </c>
      <c r="R91" s="183"/>
      <c r="S91" s="183"/>
      <c r="T91" s="183"/>
      <c r="U91" s="183"/>
      <c r="V91" s="183"/>
      <c r="W91" s="183" t="e">
        <f>W90/AJ90*100</f>
        <v>#DIV/0!</v>
      </c>
      <c r="X91" s="183" t="e">
        <f>X90/AK90*100</f>
        <v>#DIV/0!</v>
      </c>
      <c r="Y91" s="183"/>
      <c r="Z91" s="183"/>
      <c r="AA91" s="183">
        <v>100</v>
      </c>
      <c r="AB91" s="183"/>
      <c r="AC91" s="183"/>
      <c r="AD91" s="183"/>
      <c r="AE91" s="183"/>
    </row>
    <row r="92" spans="1:35">
      <c r="A92" s="14" t="s">
        <v>254</v>
      </c>
    </row>
    <row r="93" spans="1:35" ht="18.75" customHeight="1">
      <c r="A93" s="497" t="s">
        <v>35</v>
      </c>
      <c r="B93" s="698" t="s">
        <v>258</v>
      </c>
      <c r="C93" s="699"/>
      <c r="D93" s="192"/>
      <c r="E93" s="706" t="s">
        <v>259</v>
      </c>
      <c r="F93" s="134"/>
      <c r="G93" s="706" t="s">
        <v>260</v>
      </c>
      <c r="H93" s="706" t="s">
        <v>255</v>
      </c>
      <c r="I93" s="706" t="s">
        <v>256</v>
      </c>
      <c r="J93" s="500" t="s">
        <v>104</v>
      </c>
      <c r="K93" s="501"/>
      <c r="L93" s="501"/>
      <c r="M93" s="501"/>
      <c r="N93" s="501"/>
      <c r="O93" s="567"/>
      <c r="P93" s="698" t="s">
        <v>261</v>
      </c>
      <c r="Q93" s="736"/>
      <c r="R93" s="699"/>
      <c r="S93" s="555" t="s">
        <v>262</v>
      </c>
      <c r="T93" s="555"/>
      <c r="U93" s="555"/>
      <c r="V93" s="555"/>
      <c r="W93" s="555"/>
      <c r="X93" s="555"/>
      <c r="Y93" s="145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>
      <c r="A94" s="497"/>
      <c r="B94" s="700"/>
      <c r="C94" s="701"/>
      <c r="D94" s="193"/>
      <c r="E94" s="711"/>
      <c r="F94" s="137"/>
      <c r="G94" s="741"/>
      <c r="H94" s="741"/>
      <c r="I94" s="741"/>
      <c r="J94" s="706" t="s">
        <v>257</v>
      </c>
      <c r="K94" s="134"/>
      <c r="L94" s="706" t="s">
        <v>263</v>
      </c>
      <c r="M94" s="500" t="s">
        <v>266</v>
      </c>
      <c r="N94" s="684"/>
      <c r="O94" s="683"/>
      <c r="P94" s="708"/>
      <c r="Q94" s="737"/>
      <c r="R94" s="701"/>
      <c r="S94" s="555"/>
      <c r="T94" s="555"/>
      <c r="U94" s="555"/>
      <c r="V94" s="555"/>
      <c r="W94" s="555"/>
      <c r="X94" s="555"/>
      <c r="Y94" s="145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ht="133.5" customHeight="1">
      <c r="A95" s="497"/>
      <c r="B95" s="702"/>
      <c r="C95" s="703"/>
      <c r="D95" s="194"/>
      <c r="E95" s="707"/>
      <c r="F95" s="135"/>
      <c r="G95" s="740"/>
      <c r="H95" s="740"/>
      <c r="I95" s="740"/>
      <c r="J95" s="740"/>
      <c r="K95" s="135"/>
      <c r="L95" s="740"/>
      <c r="M95" s="69" t="s">
        <v>264</v>
      </c>
      <c r="N95" s="7" t="s">
        <v>265</v>
      </c>
      <c r="O95" s="7" t="s">
        <v>362</v>
      </c>
      <c r="P95" s="738"/>
      <c r="Q95" s="739"/>
      <c r="R95" s="703"/>
      <c r="S95" s="555"/>
      <c r="T95" s="555"/>
      <c r="U95" s="555"/>
      <c r="V95" s="555"/>
      <c r="W95" s="555"/>
      <c r="X95" s="555"/>
      <c r="Y95" s="145"/>
      <c r="Z95" s="21"/>
      <c r="AA95" s="21"/>
      <c r="AB95" s="21"/>
      <c r="AC95" s="21"/>
      <c r="AD95" s="21"/>
      <c r="AE95" s="21"/>
      <c r="AF95" s="21" t="s">
        <v>361</v>
      </c>
      <c r="AG95" s="21"/>
      <c r="AH95" s="21"/>
      <c r="AI95" s="21"/>
    </row>
    <row r="96" spans="1:35" ht="26.25" customHeight="1">
      <c r="A96" s="6">
        <v>1</v>
      </c>
      <c r="B96" s="500">
        <v>2</v>
      </c>
      <c r="C96" s="683"/>
      <c r="D96" s="184"/>
      <c r="E96" s="7">
        <v>3</v>
      </c>
      <c r="F96" s="7"/>
      <c r="G96" s="7">
        <v>4</v>
      </c>
      <c r="H96" s="7">
        <v>5</v>
      </c>
      <c r="I96" s="7">
        <v>6</v>
      </c>
      <c r="J96" s="7">
        <v>7</v>
      </c>
      <c r="K96" s="7"/>
      <c r="L96" s="7">
        <v>8</v>
      </c>
      <c r="M96" s="7">
        <v>9</v>
      </c>
      <c r="N96" s="7">
        <v>10</v>
      </c>
      <c r="O96" s="7">
        <v>11</v>
      </c>
      <c r="P96" s="500">
        <v>12</v>
      </c>
      <c r="Q96" s="684"/>
      <c r="R96" s="683"/>
      <c r="S96" s="500">
        <v>13</v>
      </c>
      <c r="T96" s="501"/>
      <c r="U96" s="693"/>
      <c r="V96" s="693"/>
      <c r="W96" s="693"/>
      <c r="X96" s="694"/>
      <c r="Y96" s="145"/>
      <c r="Z96" s="21"/>
      <c r="AA96" s="21"/>
      <c r="AB96" s="21"/>
      <c r="AC96" s="21"/>
      <c r="AD96" s="21" t="s">
        <v>370</v>
      </c>
      <c r="AE96" s="21"/>
      <c r="AF96" s="21"/>
      <c r="AG96" s="21"/>
      <c r="AH96" s="21"/>
      <c r="AI96" s="21"/>
    </row>
    <row r="97" spans="1:35" ht="18.75" customHeight="1">
      <c r="A97" s="70" t="s">
        <v>40</v>
      </c>
      <c r="B97" s="695"/>
      <c r="C97" s="696"/>
      <c r="D97" s="185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682"/>
      <c r="Q97" s="684"/>
      <c r="R97" s="683"/>
      <c r="S97" s="682"/>
      <c r="T97" s="697"/>
      <c r="U97" s="684"/>
      <c r="V97" s="684"/>
      <c r="W97" s="684"/>
      <c r="X97" s="683"/>
      <c r="Y97" s="146"/>
      <c r="Z97" s="99"/>
      <c r="AA97" s="99"/>
      <c r="AB97" s="99"/>
      <c r="AC97" s="99"/>
      <c r="AD97" s="100"/>
      <c r="AE97" s="100"/>
      <c r="AF97" s="100"/>
      <c r="AG97" s="100"/>
      <c r="AH97" s="100"/>
      <c r="AI97" s="100"/>
    </row>
    <row r="98" spans="1:35" ht="18.75" customHeight="1">
      <c r="A98" s="178"/>
      <c r="B98" s="178"/>
      <c r="C98" s="179"/>
      <c r="D98" s="179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170"/>
      <c r="R98" s="170"/>
      <c r="S98" s="71"/>
      <c r="T98" s="71"/>
      <c r="U98" s="170"/>
      <c r="V98" s="170"/>
      <c r="W98" s="170"/>
      <c r="X98" s="170"/>
      <c r="Y98" s="99"/>
      <c r="Z98" s="99"/>
      <c r="AA98" s="99"/>
      <c r="AB98" s="99"/>
      <c r="AC98" s="99"/>
      <c r="AD98" s="100"/>
      <c r="AE98" s="100"/>
      <c r="AF98" s="100"/>
      <c r="AG98" s="100"/>
      <c r="AH98" s="100"/>
      <c r="AI98" s="100"/>
    </row>
    <row r="99" spans="1:35" ht="34.5" customHeight="1">
      <c r="A99" s="41" t="s">
        <v>178</v>
      </c>
      <c r="B99" s="1"/>
      <c r="C99" s="1"/>
      <c r="D99" s="1"/>
      <c r="E99" s="576" t="s">
        <v>327</v>
      </c>
      <c r="F99" s="576"/>
      <c r="G99" s="734"/>
      <c r="H99" s="12"/>
      <c r="I99" s="735" t="s">
        <v>326</v>
      </c>
      <c r="J99" s="735"/>
      <c r="K99" s="735"/>
      <c r="L99" s="735"/>
    </row>
    <row r="100" spans="1:35">
      <c r="A100" s="50" t="s">
        <v>58</v>
      </c>
      <c r="B100" s="130"/>
      <c r="C100" s="130"/>
      <c r="D100" s="130"/>
      <c r="E100" s="517" t="s">
        <v>59</v>
      </c>
      <c r="F100" s="517"/>
      <c r="G100" s="517"/>
      <c r="H100" s="132"/>
      <c r="I100" s="543" t="s">
        <v>78</v>
      </c>
      <c r="J100" s="543"/>
      <c r="K100" s="543"/>
      <c r="L100" s="543"/>
    </row>
  </sheetData>
  <mergeCells count="157">
    <mergeCell ref="A5:J5"/>
    <mergeCell ref="A7:J7"/>
    <mergeCell ref="A6:J6"/>
    <mergeCell ref="I20:J20"/>
    <mergeCell ref="I14:J14"/>
    <mergeCell ref="I27:J27"/>
    <mergeCell ref="I17:J17"/>
    <mergeCell ref="I26:J26"/>
    <mergeCell ref="I12:J12"/>
    <mergeCell ref="I13:J13"/>
    <mergeCell ref="I18:J18"/>
    <mergeCell ref="I19:J19"/>
    <mergeCell ref="I21:J21"/>
    <mergeCell ref="G14:H14"/>
    <mergeCell ref="I15:J15"/>
    <mergeCell ref="I23:J23"/>
    <mergeCell ref="I25:J25"/>
    <mergeCell ref="G22:H22"/>
    <mergeCell ref="G23:H23"/>
    <mergeCell ref="I24:J24"/>
    <mergeCell ref="E99:G99"/>
    <mergeCell ref="I99:L99"/>
    <mergeCell ref="E100:G100"/>
    <mergeCell ref="I100:L100"/>
    <mergeCell ref="L83:L84"/>
    <mergeCell ref="L82:P82"/>
    <mergeCell ref="M94:O94"/>
    <mergeCell ref="P93:R95"/>
    <mergeCell ref="L94:L95"/>
    <mergeCell ref="P96:R96"/>
    <mergeCell ref="E82:J82"/>
    <mergeCell ref="J94:J95"/>
    <mergeCell ref="P97:R97"/>
    <mergeCell ref="E93:E95"/>
    <mergeCell ref="G93:G95"/>
    <mergeCell ref="H93:H95"/>
    <mergeCell ref="I93:I95"/>
    <mergeCell ref="E83:K83"/>
    <mergeCell ref="H58:I58"/>
    <mergeCell ref="J58:M58"/>
    <mergeCell ref="E58:G58"/>
    <mergeCell ref="J48:M48"/>
    <mergeCell ref="J49:M49"/>
    <mergeCell ref="J50:M50"/>
    <mergeCell ref="I34:J34"/>
    <mergeCell ref="J51:M51"/>
    <mergeCell ref="I28:J28"/>
    <mergeCell ref="I30:J30"/>
    <mergeCell ref="J57:M57"/>
    <mergeCell ref="H57:I57"/>
    <mergeCell ref="G32:H32"/>
    <mergeCell ref="G33:H33"/>
    <mergeCell ref="I29:J29"/>
    <mergeCell ref="I32:J32"/>
    <mergeCell ref="I36:J36"/>
    <mergeCell ref="I35:J35"/>
    <mergeCell ref="I31:J31"/>
    <mergeCell ref="I33:J33"/>
    <mergeCell ref="G35:H35"/>
    <mergeCell ref="L40:M40"/>
    <mergeCell ref="B65:C65"/>
    <mergeCell ref="B59:C59"/>
    <mergeCell ref="B60:C60"/>
    <mergeCell ref="B66:C66"/>
    <mergeCell ref="B61:C61"/>
    <mergeCell ref="B63:C63"/>
    <mergeCell ref="B50:C50"/>
    <mergeCell ref="B62:C62"/>
    <mergeCell ref="B52:C52"/>
    <mergeCell ref="B53:C53"/>
    <mergeCell ref="AB83:AE83"/>
    <mergeCell ref="H71:H72"/>
    <mergeCell ref="R83:U83"/>
    <mergeCell ref="W83:Z83"/>
    <mergeCell ref="I76:N76"/>
    <mergeCell ref="I77:I78"/>
    <mergeCell ref="M83:P83"/>
    <mergeCell ref="V82:Z82"/>
    <mergeCell ref="A81:H81"/>
    <mergeCell ref="B73:C73"/>
    <mergeCell ref="G71:G72"/>
    <mergeCell ref="H76:H78"/>
    <mergeCell ref="F71:F72"/>
    <mergeCell ref="B76:C78"/>
    <mergeCell ref="B71:C72"/>
    <mergeCell ref="B80:C80"/>
    <mergeCell ref="A76:A78"/>
    <mergeCell ref="E76:E78"/>
    <mergeCell ref="G76:G78"/>
    <mergeCell ref="F76:F78"/>
    <mergeCell ref="Y81:AE81"/>
    <mergeCell ref="AA82:AE82"/>
    <mergeCell ref="Q82:U82"/>
    <mergeCell ref="I71:N71"/>
    <mergeCell ref="S93:X95"/>
    <mergeCell ref="S96:X96"/>
    <mergeCell ref="B97:C97"/>
    <mergeCell ref="B96:C96"/>
    <mergeCell ref="S97:X97"/>
    <mergeCell ref="J93:O93"/>
    <mergeCell ref="A93:A95"/>
    <mergeCell ref="A82:A83"/>
    <mergeCell ref="B91:C91"/>
    <mergeCell ref="B93:C95"/>
    <mergeCell ref="B90:C90"/>
    <mergeCell ref="B87:C87"/>
    <mergeCell ref="B88:C88"/>
    <mergeCell ref="B89:C89"/>
    <mergeCell ref="B85:C85"/>
    <mergeCell ref="B86:C86"/>
    <mergeCell ref="D83:D84"/>
    <mergeCell ref="B82:C83"/>
    <mergeCell ref="B2:I2"/>
    <mergeCell ref="B79:C79"/>
    <mergeCell ref="A75:J75"/>
    <mergeCell ref="B68:C68"/>
    <mergeCell ref="B64:C64"/>
    <mergeCell ref="A70:M70"/>
    <mergeCell ref="I40:K40"/>
    <mergeCell ref="B57:D57"/>
    <mergeCell ref="B51:C51"/>
    <mergeCell ref="B58:C58"/>
    <mergeCell ref="J52:M52"/>
    <mergeCell ref="J53:M53"/>
    <mergeCell ref="E57:G57"/>
    <mergeCell ref="B48:C48"/>
    <mergeCell ref="B49:C49"/>
    <mergeCell ref="E71:E72"/>
    <mergeCell ref="B67:C67"/>
    <mergeCell ref="I22:J22"/>
    <mergeCell ref="G12:H12"/>
    <mergeCell ref="G13:H13"/>
    <mergeCell ref="I16:J16"/>
    <mergeCell ref="J77:N77"/>
    <mergeCell ref="A4:J4"/>
    <mergeCell ref="A71:A72"/>
    <mergeCell ref="A40:A41"/>
    <mergeCell ref="G18:H18"/>
    <mergeCell ref="G27:H27"/>
    <mergeCell ref="G19:H19"/>
    <mergeCell ref="G20:H20"/>
    <mergeCell ref="G21:H21"/>
    <mergeCell ref="G25:H25"/>
    <mergeCell ref="G34:H34"/>
    <mergeCell ref="G15:H15"/>
    <mergeCell ref="G31:H31"/>
    <mergeCell ref="G30:H30"/>
    <mergeCell ref="G29:H29"/>
    <mergeCell ref="B40:C40"/>
    <mergeCell ref="G17:H17"/>
    <mergeCell ref="G16:H16"/>
    <mergeCell ref="G26:H26"/>
    <mergeCell ref="G24:H24"/>
    <mergeCell ref="D40:E40"/>
    <mergeCell ref="G28:H28"/>
    <mergeCell ref="G36:H36"/>
    <mergeCell ref="G40:H40"/>
  </mergeCells>
  <phoneticPr fontId="3" type="noConversion"/>
  <pageMargins left="0.11811023622047245" right="0.19685039370078741" top="0.19685039370078741" bottom="0" header="0.27559055118110237" footer="0.15748031496062992"/>
  <pageSetup paperSize="9" scale="43" fitToHeight="0" orientation="landscape" verticalDpi="1200" r:id="rId1"/>
  <headerFooter alignWithMargins="0">
    <oddHeader>&amp;C&amp;"Times New Roman,обычный"&amp;14 13&amp;R&amp;"Times New Roman,обычный"&amp;14Продовження додатка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1"/>
  <sheetViews>
    <sheetView view="pageBreakPreview" topLeftCell="A31" zoomScale="86" zoomScaleNormal="60" zoomScaleSheetLayoutView="86" workbookViewId="0">
      <selection activeCell="A7" sqref="A1:J1048576"/>
    </sheetView>
  </sheetViews>
  <sheetFormatPr defaultRowHeight="18.75"/>
  <cols>
    <col min="1" max="1" width="45.42578125" style="3" customWidth="1"/>
    <col min="2" max="2" width="9.7109375" style="21" customWidth="1"/>
    <col min="3" max="3" width="12.28515625" style="21" customWidth="1"/>
    <col min="4" max="4" width="12" style="21" customWidth="1"/>
    <col min="5" max="5" width="14.42578125" style="21" customWidth="1"/>
    <col min="6" max="6" width="12.5703125" style="3" customWidth="1"/>
    <col min="7" max="7" width="11.85546875" style="3" customWidth="1"/>
    <col min="8" max="8" width="12.28515625" style="3" customWidth="1"/>
    <col min="9" max="9" width="12.7109375" style="3" customWidth="1"/>
    <col min="10" max="10" width="12.5703125" style="3" customWidth="1"/>
    <col min="11" max="11" width="10" style="3" customWidth="1"/>
    <col min="12" max="12" width="9.5703125" style="3" customWidth="1"/>
    <col min="13" max="14" width="9.140625" style="3"/>
    <col min="15" max="15" width="10.5703125" style="3" customWidth="1"/>
    <col min="16" max="16384" width="9.140625" style="3"/>
  </cols>
  <sheetData>
    <row r="1" spans="1:10">
      <c r="A1" s="515" t="s">
        <v>301</v>
      </c>
      <c r="B1" s="515"/>
      <c r="C1" s="515"/>
      <c r="D1" s="515"/>
      <c r="E1" s="515"/>
      <c r="F1" s="515"/>
      <c r="G1" s="515"/>
      <c r="H1" s="515"/>
      <c r="I1" s="515"/>
      <c r="J1" s="515"/>
    </row>
    <row r="2" spans="1:10">
      <c r="A2" s="516" t="s">
        <v>300</v>
      </c>
      <c r="B2" s="516"/>
      <c r="C2" s="516"/>
      <c r="D2" s="516"/>
      <c r="E2" s="516"/>
      <c r="F2" s="516"/>
      <c r="G2" s="516"/>
      <c r="H2" s="516"/>
      <c r="I2" s="516"/>
      <c r="J2" s="516"/>
    </row>
    <row r="3" spans="1:10">
      <c r="A3" s="515" t="s">
        <v>385</v>
      </c>
      <c r="B3" s="515"/>
      <c r="C3" s="515"/>
      <c r="D3" s="515"/>
      <c r="E3" s="515"/>
      <c r="F3" s="515"/>
      <c r="G3" s="515"/>
      <c r="H3" s="515"/>
      <c r="I3" s="515"/>
      <c r="J3" s="515"/>
    </row>
    <row r="4" spans="1:10" ht="21.75" customHeight="1">
      <c r="A4" s="515" t="s">
        <v>156</v>
      </c>
      <c r="B4" s="515"/>
      <c r="C4" s="515"/>
      <c r="D4" s="515"/>
      <c r="E4" s="515"/>
      <c r="F4" s="515"/>
      <c r="G4" s="515"/>
      <c r="H4" s="515"/>
      <c r="I4" s="515"/>
      <c r="J4" s="515"/>
    </row>
    <row r="5" spans="1:10" ht="31.5" customHeight="1">
      <c r="A5" s="512" t="s">
        <v>183</v>
      </c>
      <c r="B5" s="518" t="s">
        <v>5</v>
      </c>
      <c r="C5" s="513" t="s">
        <v>380</v>
      </c>
      <c r="D5" s="513" t="s">
        <v>381</v>
      </c>
      <c r="E5" s="518" t="s">
        <v>379</v>
      </c>
      <c r="F5" s="518" t="s">
        <v>104</v>
      </c>
      <c r="G5" s="519" t="s">
        <v>267</v>
      </c>
      <c r="H5" s="519"/>
      <c r="I5" s="519"/>
      <c r="J5" s="519"/>
    </row>
    <row r="6" spans="1:10" ht="54.75" customHeight="1">
      <c r="A6" s="512"/>
      <c r="B6" s="518"/>
      <c r="C6" s="525"/>
      <c r="D6" s="514"/>
      <c r="E6" s="518" t="s">
        <v>372</v>
      </c>
      <c r="F6" s="518"/>
      <c r="G6" s="211" t="s">
        <v>141</v>
      </c>
      <c r="H6" s="211" t="s">
        <v>142</v>
      </c>
      <c r="I6" s="211" t="s">
        <v>143</v>
      </c>
      <c r="J6" s="211" t="s">
        <v>55</v>
      </c>
    </row>
    <row r="7" spans="1:10" ht="20.100000000000001" customHeight="1">
      <c r="A7" s="112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</row>
    <row r="8" spans="1:10" ht="24.95" customHeight="1">
      <c r="A8" s="519" t="s">
        <v>76</v>
      </c>
      <c r="B8" s="519"/>
      <c r="C8" s="519"/>
      <c r="D8" s="519"/>
      <c r="E8" s="519"/>
      <c r="F8" s="519"/>
      <c r="G8" s="519"/>
      <c r="H8" s="519"/>
      <c r="I8" s="519"/>
      <c r="J8" s="519"/>
    </row>
    <row r="9" spans="1:10" ht="30.75" customHeight="1">
      <c r="A9" s="154" t="s">
        <v>157</v>
      </c>
      <c r="B9" s="112">
        <f>'1.1.Фінансовий результат'!B13</f>
        <v>1040</v>
      </c>
      <c r="C9" s="82">
        <f>'1.1.Фінансовий результат'!C13</f>
        <v>12014</v>
      </c>
      <c r="D9" s="82">
        <f>'1.1.Фінансовий результат'!D13</f>
        <v>12962.1</v>
      </c>
      <c r="E9" s="82">
        <f>'1.1.Фінансовий результат'!E13</f>
        <v>13410.4</v>
      </c>
      <c r="F9" s="82">
        <f>'1.1.Фінансовий результат'!F13</f>
        <v>15217</v>
      </c>
      <c r="G9" s="82">
        <f>'1.1.Фінансовий результат'!G13</f>
        <v>3643.3</v>
      </c>
      <c r="H9" s="82">
        <f>'1.1.Фінансовий результат'!H13</f>
        <v>3852</v>
      </c>
      <c r="I9" s="82">
        <f>'1.1.Фінансовий результат'!I13</f>
        <v>3863</v>
      </c>
      <c r="J9" s="82">
        <f>'1.1.Фінансовий результат'!J13</f>
        <v>3858.7</v>
      </c>
    </row>
    <row r="10" spans="1:10" ht="37.5" customHeight="1">
      <c r="A10" s="154" t="s">
        <v>129</v>
      </c>
      <c r="B10" s="112">
        <f>'1.1.Фінансовий результат'!B14</f>
        <v>1050</v>
      </c>
      <c r="C10" s="82">
        <f>'1.1.Фінансовий результат'!C14</f>
        <v>9815</v>
      </c>
      <c r="D10" s="82">
        <f>'1.1.Фінансовий результат'!D14</f>
        <v>10124.1</v>
      </c>
      <c r="E10" s="82">
        <f>'1.1.Фінансовий результат'!E14</f>
        <v>10537.518</v>
      </c>
      <c r="F10" s="82">
        <f>'1.1.Фінансовий результат'!F14</f>
        <v>12273.545999999998</v>
      </c>
      <c r="G10" s="82">
        <f>'1.1.Фінансовий результат'!G14</f>
        <v>2859.924</v>
      </c>
      <c r="H10" s="82">
        <f>'1.1.Фінансовий результат'!H14</f>
        <v>3148.924</v>
      </c>
      <c r="I10" s="82">
        <f>'1.1.Фінансовий результат'!I14</f>
        <v>3158.23</v>
      </c>
      <c r="J10" s="82">
        <f>'1.1.Фінансовий результат'!J14</f>
        <v>3106.4679999999998</v>
      </c>
    </row>
    <row r="11" spans="1:10" ht="32.25" customHeight="1">
      <c r="A11" s="154" t="s">
        <v>198</v>
      </c>
      <c r="B11" s="121">
        <f>'1.1.Фінансовий результат'!B29</f>
        <v>1060</v>
      </c>
      <c r="C11" s="82">
        <f>'1.1.Фінансовий результат'!C29</f>
        <v>2199</v>
      </c>
      <c r="D11" s="82">
        <f>'1.1.Фінансовий результат'!D29</f>
        <v>2838</v>
      </c>
      <c r="E11" s="82">
        <f>'1.1.Фінансовий результат'!E29</f>
        <v>2872.8819999999996</v>
      </c>
      <c r="F11" s="82">
        <f>'1.1.Фінансовий результат'!F29</f>
        <v>2943.4540000000015</v>
      </c>
      <c r="G11" s="82">
        <f>'1.1.Фінансовий результат'!G29</f>
        <v>783.3760000000002</v>
      </c>
      <c r="H11" s="82">
        <f>'1.1.Фінансовий результат'!H29</f>
        <v>703.07600000000002</v>
      </c>
      <c r="I11" s="82">
        <f>'1.1.Фінансовий результат'!I29</f>
        <v>704.77</v>
      </c>
      <c r="J11" s="82">
        <f>'1.1.Фінансовий результат'!J29</f>
        <v>752.23199999999997</v>
      </c>
    </row>
    <row r="12" spans="1:10" ht="20.100000000000001" customHeight="1">
      <c r="A12" s="154" t="s">
        <v>241</v>
      </c>
      <c r="B12" s="112">
        <f>'1.1.Фінансовий результат'!B30</f>
        <v>1070</v>
      </c>
      <c r="C12" s="94">
        <f>'1.1.Фінансовий результат'!C30</f>
        <v>0</v>
      </c>
      <c r="D12" s="94">
        <f>'1.1.Фінансовий результат'!D30</f>
        <v>0</v>
      </c>
      <c r="E12" s="94">
        <v>0</v>
      </c>
      <c r="F12" s="94">
        <f>'1.1.Фінансовий результат'!F30</f>
        <v>0</v>
      </c>
      <c r="G12" s="94">
        <f>'1.1.Фінансовий результат'!G30</f>
        <v>0</v>
      </c>
      <c r="H12" s="94">
        <f>'1.1.Фінансовий результат'!H30</f>
        <v>0</v>
      </c>
      <c r="I12" s="94">
        <f>'1.1.Фінансовий результат'!I30</f>
        <v>0</v>
      </c>
      <c r="J12" s="94">
        <f>'1.1.Фінансовий результат'!J30</f>
        <v>0</v>
      </c>
    </row>
    <row r="13" spans="1:10" ht="20.100000000000001" customHeight="1">
      <c r="A13" s="154" t="s">
        <v>108</v>
      </c>
      <c r="B13" s="112">
        <f>'1.1.Фінансовий результат'!B31</f>
        <v>1080</v>
      </c>
      <c r="C13" s="122">
        <f>'1.1.Фінансовий результат'!C31</f>
        <v>1491.4</v>
      </c>
      <c r="D13" s="122">
        <f>'1.1.Фінансовий результат'!D31</f>
        <v>1965.0000000000002</v>
      </c>
      <c r="E13" s="122">
        <f>'1.1.Фінансовий результат'!E31</f>
        <v>1976.6220000000001</v>
      </c>
      <c r="F13" s="122">
        <f>'1.1.Фінансовий результат'!F31</f>
        <v>1930.864</v>
      </c>
      <c r="G13" s="122">
        <f>'1.1.Фінансовий результат'!G31</f>
        <v>506.404</v>
      </c>
      <c r="H13" s="122">
        <f>'1.1.Фінансовий результат'!H31</f>
        <v>462.00400000000002</v>
      </c>
      <c r="I13" s="122">
        <f>'1.1.Фінансовий результат'!I31</f>
        <v>474.8060000000001</v>
      </c>
      <c r="J13" s="122">
        <f>'1.1.Фінансовий результат'!J31</f>
        <v>487.65000000000003</v>
      </c>
    </row>
    <row r="14" spans="1:10" ht="20.100000000000001" customHeight="1">
      <c r="A14" s="154" t="s">
        <v>105</v>
      </c>
      <c r="B14" s="112">
        <f>'1.1.Фінансовий результат'!B62</f>
        <v>1110</v>
      </c>
      <c r="C14" s="122">
        <f>'1.1.Фінансовий результат'!C62</f>
        <v>553.79999999999995</v>
      </c>
      <c r="D14" s="122">
        <f>'1.1.Фінансовий результат'!D62</f>
        <v>722.90000000000009</v>
      </c>
      <c r="E14" s="122">
        <f>'1.1.Фінансовий результат'!E62</f>
        <v>737.04000000000008</v>
      </c>
      <c r="F14" s="122">
        <f>'1.1.Фінансовий результат'!F62</f>
        <v>851.4</v>
      </c>
      <c r="G14" s="122">
        <f>'1.1.Фінансовий результат'!G62</f>
        <v>236.654</v>
      </c>
      <c r="H14" s="122">
        <f>'1.1.Фінансовий результат'!H62</f>
        <v>200.75400000000002</v>
      </c>
      <c r="I14" s="122">
        <f>'1.1.Фінансовий результат'!I62</f>
        <v>189.63199999999998</v>
      </c>
      <c r="J14" s="122">
        <f>'1.1.Фінансовий результат'!J62</f>
        <v>224.30599999999998</v>
      </c>
    </row>
    <row r="15" spans="1:10" ht="20.100000000000001" customHeight="1">
      <c r="A15" s="154" t="s">
        <v>12</v>
      </c>
      <c r="B15" s="112">
        <f>'1.1.Фінансовий результат'!B79</f>
        <v>1120</v>
      </c>
      <c r="C15" s="122">
        <f>'1.1.Фінансовий результат'!C79</f>
        <v>121.2</v>
      </c>
      <c r="D15" s="122">
        <f>'1.1.Фінансовий результат'!D79</f>
        <v>122.2</v>
      </c>
      <c r="E15" s="122">
        <f>'1.1.Фінансовий результат'!E79</f>
        <v>121.2</v>
      </c>
      <c r="F15" s="122">
        <f>'1.1.Фінансовий результат'!F79</f>
        <v>121.2</v>
      </c>
      <c r="G15" s="122">
        <f>'1.1.Фінансовий результат'!G79</f>
        <v>30.3</v>
      </c>
      <c r="H15" s="122">
        <f>'1.1.Фінансовий результат'!H79</f>
        <v>30.3</v>
      </c>
      <c r="I15" s="122">
        <f>'1.1.Фінансовий результат'!I79</f>
        <v>30.3</v>
      </c>
      <c r="J15" s="122">
        <f>'1.1.Фінансовий результат'!J79</f>
        <v>30.3</v>
      </c>
    </row>
    <row r="16" spans="1:10" ht="38.25" customHeight="1">
      <c r="A16" s="208" t="s">
        <v>244</v>
      </c>
      <c r="B16" s="155">
        <f>'1.1.Фінансовий результат'!B88</f>
        <v>1130</v>
      </c>
      <c r="C16" s="206">
        <f>'1.1.Фінансовий результат'!C88</f>
        <v>32.599999999999952</v>
      </c>
      <c r="D16" s="206">
        <f>'1.1.Фінансовий результат'!D88</f>
        <v>27.899999999999679</v>
      </c>
      <c r="E16" s="206">
        <f>'1.1.Фінансовий результат'!E88</f>
        <v>38.1</v>
      </c>
      <c r="F16" s="206">
        <f>'1.1.Фінансовий результат'!F88</f>
        <v>39.99000000000153</v>
      </c>
      <c r="G16" s="206">
        <f>'1.1.Фінансовий результат'!G88</f>
        <v>10.01800000000021</v>
      </c>
      <c r="H16" s="206">
        <f>'1.1.Фінансовий результат'!H88</f>
        <v>10.017999999999983</v>
      </c>
      <c r="I16" s="206">
        <f>'1.1.Фінансовий результат'!I88</f>
        <v>10.031999999999908</v>
      </c>
      <c r="J16" s="206">
        <f>'1.1.Фінансовий результат'!J88</f>
        <v>9.9759999999999529</v>
      </c>
    </row>
    <row r="17" spans="1:10" ht="20.100000000000001" customHeight="1">
      <c r="A17" s="156" t="s">
        <v>252</v>
      </c>
      <c r="B17" s="112">
        <f>'1.1.Фінансовий результат'!B89</f>
        <v>1140</v>
      </c>
      <c r="C17" s="94">
        <f>'1.1.Фінансовий результат'!C89</f>
        <v>0</v>
      </c>
      <c r="D17" s="94">
        <f>'1.1.Фінансовий результат'!D89</f>
        <v>0</v>
      </c>
      <c r="E17" s="94">
        <v>0</v>
      </c>
      <c r="F17" s="94">
        <f>'1.1.Фінансовий результат'!F89</f>
        <v>0</v>
      </c>
      <c r="G17" s="94">
        <f>'1.1.Фінансовий результат'!G89</f>
        <v>0</v>
      </c>
      <c r="H17" s="94">
        <f>'1.1.Фінансовий результат'!H89</f>
        <v>0</v>
      </c>
      <c r="I17" s="94">
        <f>'1.1.Фінансовий результат'!I89</f>
        <v>0</v>
      </c>
      <c r="J17" s="94">
        <f>'1.1.Фінансовий результат'!J89</f>
        <v>0</v>
      </c>
    </row>
    <row r="18" spans="1:10" ht="20.100000000000001" customHeight="1">
      <c r="A18" s="156" t="s">
        <v>253</v>
      </c>
      <c r="B18" s="112">
        <f>'1.1.Фінансовий результат'!B90</f>
        <v>1150</v>
      </c>
      <c r="C18" s="94">
        <f>'1.1.Фінансовий результат'!C90</f>
        <v>0</v>
      </c>
      <c r="D18" s="94">
        <f>'1.1.Фінансовий результат'!D90</f>
        <v>0</v>
      </c>
      <c r="E18" s="94">
        <v>0</v>
      </c>
      <c r="F18" s="94">
        <f>'1.1.Фінансовий результат'!F90</f>
        <v>0</v>
      </c>
      <c r="G18" s="94">
        <f>'1.1.Фінансовий результат'!G90</f>
        <v>0</v>
      </c>
      <c r="H18" s="94">
        <f>'1.1.Фінансовий результат'!H90</f>
        <v>0</v>
      </c>
      <c r="I18" s="94">
        <f>'1.1.Фінансовий результат'!I90</f>
        <v>0</v>
      </c>
      <c r="J18" s="94">
        <f>'1.1.Фінансовий результат'!J90</f>
        <v>0</v>
      </c>
    </row>
    <row r="19" spans="1:10" ht="20.100000000000001" customHeight="1">
      <c r="A19" s="154" t="s">
        <v>242</v>
      </c>
      <c r="B19" s="112">
        <f>'1.1.Фінансовий результат'!B91</f>
        <v>1160</v>
      </c>
      <c r="C19" s="94">
        <f>'1.1.Фінансовий результат'!C91</f>
        <v>0</v>
      </c>
      <c r="D19" s="94">
        <f>'1.1.Фінансовий результат'!D91</f>
        <v>0</v>
      </c>
      <c r="E19" s="94">
        <v>0</v>
      </c>
      <c r="F19" s="94">
        <f>'1.1.Фінансовий результат'!F91</f>
        <v>0</v>
      </c>
      <c r="G19" s="94">
        <f>'1.1.Фінансовий результат'!G91</f>
        <v>0</v>
      </c>
      <c r="H19" s="94">
        <f>'1.1.Фінансовий результат'!H91</f>
        <v>0</v>
      </c>
      <c r="I19" s="94">
        <f>'1.1.Фінансовий результат'!I91</f>
        <v>0</v>
      </c>
      <c r="J19" s="94">
        <f>'1.1.Фінансовий результат'!J91</f>
        <v>0</v>
      </c>
    </row>
    <row r="20" spans="1:10" ht="20.100000000000001" customHeight="1">
      <c r="A20" s="154" t="s">
        <v>243</v>
      </c>
      <c r="B20" s="112">
        <f>'1.1.Фінансовий результат'!B92</f>
        <v>1170</v>
      </c>
      <c r="C20" s="94">
        <f>'1.1.Фінансовий результат'!C92</f>
        <v>0</v>
      </c>
      <c r="D20" s="94">
        <f>'1.1.Фінансовий результат'!D92</f>
        <v>0</v>
      </c>
      <c r="E20" s="94">
        <v>0</v>
      </c>
      <c r="F20" s="94">
        <f>'1.1.Фінансовий результат'!F92</f>
        <v>0</v>
      </c>
      <c r="G20" s="94">
        <f>'1.1.Фінансовий результат'!G92</f>
        <v>0</v>
      </c>
      <c r="H20" s="94">
        <f>'1.1.Фінансовий результат'!H92</f>
        <v>0</v>
      </c>
      <c r="I20" s="94">
        <f>'1.1.Фінансовий результат'!I92</f>
        <v>0</v>
      </c>
      <c r="J20" s="94">
        <f>'1.1.Фінансовий результат'!J92</f>
        <v>0</v>
      </c>
    </row>
    <row r="21" spans="1:10" ht="43.5" customHeight="1">
      <c r="A21" s="209" t="s">
        <v>246</v>
      </c>
      <c r="B21" s="121">
        <f>'1.1.Фінансовий результат'!B93</f>
        <v>1200</v>
      </c>
      <c r="C21" s="82">
        <f>'1.1.Фінансовий результат'!C93</f>
        <v>32.599999999999952</v>
      </c>
      <c r="D21" s="82">
        <f>'1.1.Фінансовий результат'!D93</f>
        <v>27.899999999999679</v>
      </c>
      <c r="E21" s="82">
        <f>'1.1.Фінансовий результат'!E93</f>
        <v>38.1</v>
      </c>
      <c r="F21" s="82">
        <f>'1.1.Фінансовий результат'!F93</f>
        <v>40.044000000000054</v>
      </c>
      <c r="G21" s="82">
        <f>'1.1.Фінансовий результат'!G93</f>
        <v>10.01800000000021</v>
      </c>
      <c r="H21" s="82">
        <f>'1.1.Фінансовий результат'!H93</f>
        <v>10.017999999999983</v>
      </c>
      <c r="I21" s="82">
        <f>'1.1.Фінансовий результат'!I93</f>
        <v>10.031999999999908</v>
      </c>
      <c r="J21" s="82">
        <f>'1.1.Фінансовий результат'!J93</f>
        <v>9.9759999999999529</v>
      </c>
    </row>
    <row r="22" spans="1:10" ht="20.100000000000001" customHeight="1">
      <c r="A22" s="207" t="s">
        <v>106</v>
      </c>
      <c r="B22" s="112">
        <f>'1.1.Фінансовий результат'!B94</f>
        <v>1210</v>
      </c>
      <c r="C22" s="122">
        <f>'1.1.Фінансовий результат'!C94</f>
        <v>5.9</v>
      </c>
      <c r="D22" s="122">
        <f>'1.1.Фінансовий результат'!D94</f>
        <v>5</v>
      </c>
      <c r="E22" s="122">
        <f>'1.1.Фінансовий результат'!E94</f>
        <v>6.8579999999999997</v>
      </c>
      <c r="F22" s="122">
        <f>'1.1.Фінансовий результат'!F94</f>
        <v>7.2079200000000094</v>
      </c>
      <c r="G22" s="122">
        <f>'1.1.Фінансовий результат'!G94</f>
        <v>1.8032400000000377</v>
      </c>
      <c r="H22" s="122">
        <f>'1.1.Фінансовий результат'!H94</f>
        <v>1.8032399999999968</v>
      </c>
      <c r="I22" s="122">
        <f>'1.1.Фінансовий результат'!I94</f>
        <v>1.8057599999999834</v>
      </c>
      <c r="J22" s="122">
        <f>'1.1.Фінансовий результат'!J94</f>
        <v>1.7956799999999915</v>
      </c>
    </row>
    <row r="23" spans="1:10" ht="39" customHeight="1">
      <c r="A23" s="208" t="s">
        <v>247</v>
      </c>
      <c r="B23" s="155">
        <f>'1.1.Фінансовий результат'!B96</f>
        <v>1230</v>
      </c>
      <c r="C23" s="206">
        <f>'1.1.Фінансовий результат'!C96</f>
        <v>26.699999999999953</v>
      </c>
      <c r="D23" s="206">
        <f>'1.1.Фінансовий результат'!D96</f>
        <v>22.899999999999679</v>
      </c>
      <c r="E23" s="206">
        <f>'1.1.Фінансовий результат'!E96</f>
        <v>31.242000000000001</v>
      </c>
      <c r="F23" s="206">
        <f>'1.1.Фінансовий результат'!F96</f>
        <v>32.836080000000045</v>
      </c>
      <c r="G23" s="206">
        <f>'1.1.Фінансовий результат'!G96</f>
        <v>8.2147600000001724</v>
      </c>
      <c r="H23" s="206">
        <f>'1.1.Фінансовий результат'!H96</f>
        <v>8.2147599999999859</v>
      </c>
      <c r="I23" s="206">
        <f>'1.1.Фінансовий результат'!I96</f>
        <v>8.2262399999999243</v>
      </c>
      <c r="J23" s="206">
        <f>'1.1.Фінансовий результат'!J96</f>
        <v>8.180319999999961</v>
      </c>
    </row>
    <row r="24" spans="1:10" ht="24.95" customHeight="1">
      <c r="A24" s="512" t="s">
        <v>116</v>
      </c>
      <c r="B24" s="512"/>
      <c r="C24" s="512"/>
      <c r="D24" s="512"/>
      <c r="E24" s="512"/>
      <c r="F24" s="512"/>
      <c r="G24" s="512"/>
      <c r="H24" s="512"/>
      <c r="I24" s="512"/>
      <c r="J24" s="512"/>
    </row>
    <row r="25" spans="1:10" ht="30.75" customHeight="1">
      <c r="A25" s="157" t="s">
        <v>184</v>
      </c>
      <c r="B25" s="112">
        <f>'2.1Розрахунки з бюджетом'!B18</f>
        <v>2100</v>
      </c>
      <c r="C25" s="82">
        <f>'2.1Розрахунки з бюджетом'!C18</f>
        <v>4</v>
      </c>
      <c r="D25" s="82">
        <f>'2.1Розрахунки з бюджетом'!D18</f>
        <v>3.4</v>
      </c>
      <c r="E25" s="82">
        <f>'2.1Розрахунки з бюджетом'!E18</f>
        <v>4.6863000000000001</v>
      </c>
      <c r="F25" s="82">
        <f>'2.1Розрахунки з бюджетом'!F18</f>
        <v>4.9254120000000068</v>
      </c>
      <c r="G25" s="82">
        <f>'2.1Розрахунки з бюджетом'!G18</f>
        <v>1.3</v>
      </c>
      <c r="H25" s="82">
        <f>'2.1Розрахунки з бюджетом'!H18</f>
        <v>1.2322139999999979</v>
      </c>
      <c r="I25" s="82">
        <f>'2.1Розрахунки з бюджетом'!I18</f>
        <v>1.2339359999999886</v>
      </c>
      <c r="J25" s="82">
        <f>'2.1Розрахунки з бюджетом'!J18</f>
        <v>1.2270479999999941</v>
      </c>
    </row>
    <row r="26" spans="1:10" ht="20.100000000000001" customHeight="1">
      <c r="A26" s="108" t="s">
        <v>115</v>
      </c>
      <c r="B26" s="112">
        <f>'2.1Розрахунки з бюджетом'!B19</f>
        <v>2110</v>
      </c>
      <c r="C26" s="82">
        <f>'2.1Розрахунки з бюджетом'!C19</f>
        <v>6</v>
      </c>
      <c r="D26" s="82">
        <f>'2.1Розрахунки з бюджетом'!D19</f>
        <v>5</v>
      </c>
      <c r="E26" s="82">
        <f>'2.1Розрахунки з бюджетом'!E19</f>
        <v>6.8579999999999997</v>
      </c>
      <c r="F26" s="82">
        <f>'2.1Розрахунки з бюджетом'!F19</f>
        <v>7.2079200000000094</v>
      </c>
      <c r="G26" s="82">
        <f>'2.1Розрахунки з бюджетом'!G19</f>
        <v>1.8032400000000377</v>
      </c>
      <c r="H26" s="82">
        <f>'2.1Розрахунки з бюджетом'!H19</f>
        <v>1.8032399999999968</v>
      </c>
      <c r="I26" s="82">
        <f>'2.1Розрахунки з бюджетом'!I19</f>
        <v>1.8057599999999834</v>
      </c>
      <c r="J26" s="82">
        <f>'2.1Розрахунки з бюджетом'!J19</f>
        <v>1.7956799999999915</v>
      </c>
    </row>
    <row r="27" spans="1:10" ht="47.25" customHeight="1">
      <c r="A27" s="108" t="s">
        <v>220</v>
      </c>
      <c r="B27" s="112">
        <f>'2.1Розрахунки з бюджетом'!B20</f>
        <v>2120</v>
      </c>
      <c r="C27" s="82">
        <f>'2.1Розрахунки з бюджетом'!C20</f>
        <v>59.7</v>
      </c>
      <c r="D27" s="82">
        <f>'2.1Розрахунки з бюджетом'!D20</f>
        <v>80.400000000000006</v>
      </c>
      <c r="E27" s="82">
        <f>'2.1Розрахунки з бюджетом'!E20</f>
        <v>81.215999999999994</v>
      </c>
      <c r="F27" s="82">
        <f>'2.1Розрахунки з бюджетом'!F20</f>
        <v>95.710799999999978</v>
      </c>
      <c r="G27" s="82">
        <f>'2.1Розрахунки з бюджетом'!G20</f>
        <v>14.099999999999998</v>
      </c>
      <c r="H27" s="82">
        <f>'2.1Розрахунки з бюджетом'!H20</f>
        <v>35.25</v>
      </c>
      <c r="I27" s="82">
        <f>'2.1Розрахунки з бюджетом'!I20</f>
        <v>19.739999999999998</v>
      </c>
      <c r="J27" s="82">
        <f>'2.1Розрахунки з бюджетом'!J20</f>
        <v>26.620799999999999</v>
      </c>
    </row>
    <row r="28" spans="1:10" ht="49.5" customHeight="1">
      <c r="A28" s="108" t="s">
        <v>221</v>
      </c>
      <c r="B28" s="112">
        <f>'2.1Розрахунки з бюджетом'!B21</f>
        <v>2130</v>
      </c>
      <c r="C28" s="82">
        <f>'2.1Розрахунки з бюджетом'!C21</f>
        <v>0</v>
      </c>
      <c r="D28" s="82">
        <f>'2.1Розрахунки з бюджетом'!D21</f>
        <v>0</v>
      </c>
      <c r="E28" s="82">
        <v>0</v>
      </c>
      <c r="F28" s="82">
        <f>'2.1Розрахунки з бюджетом'!F21</f>
        <v>0</v>
      </c>
      <c r="G28" s="82">
        <f>'2.1Розрахунки з бюджетом'!G21</f>
        <v>0</v>
      </c>
      <c r="H28" s="82">
        <f>'2.1Розрахунки з бюджетом'!H21</f>
        <v>0</v>
      </c>
      <c r="I28" s="82">
        <f>'2.1Розрахунки з бюджетом'!I21</f>
        <v>0</v>
      </c>
      <c r="J28" s="82">
        <f>'2.1Розрахунки з бюджетом'!J21</f>
        <v>0</v>
      </c>
    </row>
    <row r="29" spans="1:10" ht="48" customHeight="1">
      <c r="A29" s="157" t="s">
        <v>176</v>
      </c>
      <c r="B29" s="112">
        <f>'2.1Розрахунки з бюджетом'!B22</f>
        <v>2140</v>
      </c>
      <c r="C29" s="82">
        <f>'2.1Розрахунки з бюджетом'!C22</f>
        <v>1325.2</v>
      </c>
      <c r="D29" s="82">
        <f>'2.1Розрахунки з бюджетом'!D22</f>
        <v>1416</v>
      </c>
      <c r="E29" s="82">
        <f>'2.1Розрахунки з бюджетом'!E22</f>
        <v>1473.9</v>
      </c>
      <c r="F29" s="82">
        <f>'2.1Розрахунки з бюджетом'!F22</f>
        <v>1573.9759999999997</v>
      </c>
      <c r="G29" s="82">
        <f>'2.1Розрахунки з бюджетом'!G22</f>
        <v>384.06450000000001</v>
      </c>
      <c r="H29" s="82">
        <f>'2.1Розрахунки з бюджетом'!H22</f>
        <v>384.06450000000001</v>
      </c>
      <c r="I29" s="82">
        <f>'2.1Розрахунки з бюджетом'!I22</f>
        <v>400.01799999999992</v>
      </c>
      <c r="J29" s="82">
        <f>'2.1Розрахунки з бюджетом'!J22</f>
        <v>405.82899999999995</v>
      </c>
    </row>
    <row r="30" spans="1:10" ht="39" customHeight="1">
      <c r="A30" s="157" t="s">
        <v>63</v>
      </c>
      <c r="B30" s="112">
        <f>'2.1Розрахунки з бюджетом'!B37</f>
        <v>2150</v>
      </c>
      <c r="C30" s="82">
        <f>'2.1Розрахунки з бюджетом'!C37</f>
        <v>1145</v>
      </c>
      <c r="D30" s="82">
        <f>'2.1Розрахунки з бюджетом'!D37</f>
        <v>1468.6</v>
      </c>
      <c r="E30" s="82">
        <f>'2.1Розрахунки з бюджетом'!E37</f>
        <v>1520.8</v>
      </c>
      <c r="F30" s="82">
        <f>'2.1Розрахунки з бюджетом'!F37</f>
        <v>1636.1099999999997</v>
      </c>
      <c r="G30" s="82">
        <f>'2.1Розрахунки з бюджетом'!G37</f>
        <v>398.38200000000001</v>
      </c>
      <c r="H30" s="82">
        <f>'2.1Розрахунки з бюджетом'!H37</f>
        <v>398.38200000000001</v>
      </c>
      <c r="I30" s="82">
        <f>'2.1Розрахунки з бюджетом'!I37</f>
        <v>416.36799999999999</v>
      </c>
      <c r="J30" s="82">
        <f>'2.1Розрахунки з бюджетом'!J37</f>
        <v>422.92399999999998</v>
      </c>
    </row>
    <row r="31" spans="1:10" ht="27.75" customHeight="1">
      <c r="A31" s="210" t="s">
        <v>185</v>
      </c>
      <c r="B31" s="121">
        <f>'2.1Розрахунки з бюджетом'!B38</f>
        <v>2200</v>
      </c>
      <c r="C31" s="82">
        <f>'2.1Розрахунки з бюджетом'!C38</f>
        <v>2539.9</v>
      </c>
      <c r="D31" s="82">
        <f>'2.1Розрахунки з бюджетом'!D38</f>
        <v>2973.3999999999996</v>
      </c>
      <c r="E31" s="82">
        <f>'2.1Розрахунки з бюджетом'!E38</f>
        <v>3087.5</v>
      </c>
      <c r="F31" s="82">
        <f>'2.1Розрахунки з бюджетом'!F38</f>
        <v>3317.9301319999995</v>
      </c>
      <c r="G31" s="82">
        <f>'2.1Розрахунки з бюджетом'!G38</f>
        <v>799.64974000000007</v>
      </c>
      <c r="H31" s="82">
        <f>'2.1Розрахунки з бюджетом'!H38</f>
        <v>820.73195400000009</v>
      </c>
      <c r="I31" s="82">
        <f>'2.1Розрахунки з бюджетом'!I38</f>
        <v>839.1656959999998</v>
      </c>
      <c r="J31" s="82">
        <f>'2.1Розрахунки з бюджетом'!J38</f>
        <v>858.39652799999999</v>
      </c>
    </row>
    <row r="32" spans="1:10" ht="24.95" customHeight="1">
      <c r="A32" s="512" t="s">
        <v>114</v>
      </c>
      <c r="B32" s="512"/>
      <c r="C32" s="512"/>
      <c r="D32" s="512"/>
      <c r="E32" s="512"/>
      <c r="F32" s="512"/>
      <c r="G32" s="512"/>
      <c r="H32" s="512"/>
      <c r="I32" s="512"/>
      <c r="J32" s="512"/>
    </row>
    <row r="33" spans="1:10" ht="20.100000000000001" customHeight="1">
      <c r="A33" s="157" t="s">
        <v>109</v>
      </c>
      <c r="B33" s="121">
        <f>'3.1.Рух грошових коштів'!B73</f>
        <v>3600</v>
      </c>
      <c r="C33" s="82">
        <f>'3.1.Рух грошових коштів'!C73</f>
        <v>59</v>
      </c>
      <c r="D33" s="82">
        <f>'3.1.Рух грошових коштів'!D73</f>
        <v>60</v>
      </c>
      <c r="E33" s="82">
        <f>'3.1.Рух грошових коштів'!E73</f>
        <v>137</v>
      </c>
      <c r="F33" s="82">
        <f>'3.1.Рух грошових коштів'!F73</f>
        <v>60</v>
      </c>
      <c r="G33" s="82">
        <f>'3.1.Рух грошових коштів'!G73</f>
        <v>60</v>
      </c>
      <c r="H33" s="82">
        <f>'3.1.Рух грошових коштів'!H73</f>
        <v>68.2</v>
      </c>
      <c r="I33" s="82">
        <f>'3.1.Рух грошових коштів'!I73</f>
        <v>76.400000000000006</v>
      </c>
      <c r="J33" s="82">
        <f>'3.1.Рух грошових коштів'!J73</f>
        <v>84.6</v>
      </c>
    </row>
    <row r="34" spans="1:10" ht="20.100000000000001" customHeight="1">
      <c r="A34" s="157" t="s">
        <v>110</v>
      </c>
      <c r="B34" s="112">
        <f>'3.1.Рух грошових коштів'!B28</f>
        <v>3090</v>
      </c>
      <c r="C34" s="82">
        <f>'3.1.Рух грошових коштів'!C28</f>
        <v>26.7</v>
      </c>
      <c r="D34" s="82">
        <f>'3.1.Рух грошових коштів'!D28</f>
        <v>22.899999999999636</v>
      </c>
      <c r="E34" s="82">
        <f>'3.1.Рух грошових коштів'!E28</f>
        <v>31.242000000000001</v>
      </c>
      <c r="F34" s="82">
        <f>'3.1.Рух грошових коштів'!F28</f>
        <v>32.836080000000045</v>
      </c>
      <c r="G34" s="82">
        <f>'3.1.Рух грошових коштів'!G28</f>
        <v>8.2147600000001724</v>
      </c>
      <c r="H34" s="82">
        <f>'3.1.Рух грошових коштів'!H28</f>
        <v>8.2147599999999859</v>
      </c>
      <c r="I34" s="82">
        <f>'3.1.Рух грошових коштів'!I28</f>
        <v>8.2262399999999243</v>
      </c>
      <c r="J34" s="82">
        <f>'3.1.Рух грошових коштів'!J28</f>
        <v>8.180319999999961</v>
      </c>
    </row>
    <row r="35" spans="1:10" ht="20.100000000000001" customHeight="1">
      <c r="A35" s="157" t="s">
        <v>170</v>
      </c>
      <c r="B35" s="112">
        <f>'3.1.Рух грошових коштів'!B45</f>
        <v>3320</v>
      </c>
      <c r="C35" s="10">
        <f>'3.1.Рух грошових коштів'!C45</f>
        <v>0</v>
      </c>
      <c r="D35" s="10">
        <f>'3.1.Рух грошових коштів'!D45</f>
        <v>0</v>
      </c>
      <c r="E35" s="10">
        <v>0</v>
      </c>
      <c r="F35" s="10">
        <f>'3.1.Рух грошових коштів'!F45</f>
        <v>0</v>
      </c>
      <c r="G35" s="10">
        <f>'3.1.Рух грошових коштів'!G45</f>
        <v>0</v>
      </c>
      <c r="H35" s="10">
        <f>'3.1.Рух грошових коштів'!H45</f>
        <v>0</v>
      </c>
      <c r="I35" s="10">
        <f>'3.1.Рух грошових коштів'!I45</f>
        <v>0</v>
      </c>
      <c r="J35" s="10">
        <f>'3.1.Рух грошових коштів'!J45</f>
        <v>0</v>
      </c>
    </row>
    <row r="36" spans="1:10" ht="20.100000000000001" customHeight="1">
      <c r="A36" s="157" t="s">
        <v>111</v>
      </c>
      <c r="B36" s="112">
        <f>'3.1.Рух грошових коштів'!B71</f>
        <v>3580</v>
      </c>
      <c r="C36" s="10">
        <f>'3.1.Рух грошових коштів'!C71</f>
        <v>0</v>
      </c>
      <c r="D36" s="10">
        <f>'3.1.Рух грошових коштів'!D71</f>
        <v>0</v>
      </c>
      <c r="E36" s="10">
        <v>0</v>
      </c>
      <c r="F36" s="10">
        <f>'3.1.Рух грошових коштів'!F71</f>
        <v>0</v>
      </c>
      <c r="G36" s="10">
        <f>'3.1.Рух грошових коштів'!G71</f>
        <v>0</v>
      </c>
      <c r="H36" s="10">
        <f>'3.1.Рух грошових коштів'!H71</f>
        <v>0</v>
      </c>
      <c r="I36" s="10">
        <f>'3.1.Рух грошових коштів'!I71</f>
        <v>0</v>
      </c>
      <c r="J36" s="10">
        <f>'3.1.Рух грошових коштів'!J71</f>
        <v>0</v>
      </c>
    </row>
    <row r="37" spans="1:10" ht="20.100000000000001" customHeight="1">
      <c r="A37" s="157" t="s">
        <v>127</v>
      </c>
      <c r="B37" s="112">
        <f>'3.1.Рух грошових коштів'!B74</f>
        <v>3610</v>
      </c>
      <c r="C37" s="10">
        <f>'3.1.Рух грошових коштів'!C74</f>
        <v>0</v>
      </c>
      <c r="D37" s="10">
        <f>'3.1.Рух грошових коштів'!D74</f>
        <v>0</v>
      </c>
      <c r="E37" s="10">
        <v>0</v>
      </c>
      <c r="F37" s="10">
        <f>'3.1.Рух грошових коштів'!F74</f>
        <v>0</v>
      </c>
      <c r="G37" s="10">
        <f>'3.1.Рух грошових коштів'!G74</f>
        <v>0</v>
      </c>
      <c r="H37" s="10">
        <f>'3.1.Рух грошових коштів'!H74</f>
        <v>0</v>
      </c>
      <c r="I37" s="10">
        <f>'3.1.Рух грошових коштів'!I74</f>
        <v>0</v>
      </c>
      <c r="J37" s="10">
        <f>'3.1.Рух грошових коштів'!J74</f>
        <v>0</v>
      </c>
    </row>
    <row r="38" spans="1:10" ht="20.100000000000001" customHeight="1">
      <c r="A38" s="157" t="s">
        <v>112</v>
      </c>
      <c r="B38" s="121">
        <f>'3.1.Рух грошових коштів'!B75</f>
        <v>3620</v>
      </c>
      <c r="C38" s="82">
        <f>'3.1.Рух грошових коштів'!C75</f>
        <v>137</v>
      </c>
      <c r="D38" s="82">
        <f>'3.1.Рух грошових коштів'!D75</f>
        <v>82.9</v>
      </c>
      <c r="E38" s="82">
        <f>'3.1.Рух грошових коштів'!E75</f>
        <v>145</v>
      </c>
      <c r="F38" s="82">
        <f>'3.1.Рух грошових коштів'!F75</f>
        <v>92.836080000000038</v>
      </c>
      <c r="G38" s="82">
        <f>'3.1.Рух грошових коштів'!G75</f>
        <v>68.214760000000169</v>
      </c>
      <c r="H38" s="82">
        <f>'3.1.Рух грошових коштів'!H75</f>
        <v>76.414759999999987</v>
      </c>
      <c r="I38" s="82">
        <f>'3.1.Рух грошових коштів'!I75</f>
        <v>84.626239999999925</v>
      </c>
      <c r="J38" s="82">
        <f>'3.1.Рух грошових коштів'!J75</f>
        <v>92.8</v>
      </c>
    </row>
    <row r="39" spans="1:10" ht="24.95" customHeight="1">
      <c r="A39" s="522" t="s">
        <v>160</v>
      </c>
      <c r="B39" s="523"/>
      <c r="C39" s="523"/>
      <c r="D39" s="523"/>
      <c r="E39" s="523"/>
      <c r="F39" s="523"/>
      <c r="G39" s="523"/>
      <c r="H39" s="523"/>
      <c r="I39" s="523"/>
      <c r="J39" s="524"/>
    </row>
    <row r="40" spans="1:10" ht="20.100000000000001" customHeight="1">
      <c r="A40" s="210" t="s">
        <v>159</v>
      </c>
      <c r="B40" s="112">
        <f>'4.1.Кап. інвестиції'!B8</f>
        <v>4000</v>
      </c>
      <c r="C40" s="82">
        <f>'4.1.Кап. інвестиції'!C8</f>
        <v>495</v>
      </c>
      <c r="D40" s="82">
        <f>'4.1.Кап. інвестиції'!D8</f>
        <v>0</v>
      </c>
      <c r="E40" s="82">
        <f>'4.1.Кап. інвестиції'!E8</f>
        <v>0</v>
      </c>
      <c r="F40" s="82">
        <f>'4.1.Кап. інвестиції'!F8</f>
        <v>4705</v>
      </c>
      <c r="G40" s="82">
        <f>'4.1.Кап. інвестиції'!G8</f>
        <v>2110</v>
      </c>
      <c r="H40" s="82">
        <f>'4.1.Кап. інвестиції'!H8</f>
        <v>1650</v>
      </c>
      <c r="I40" s="82">
        <f>'4.1.Кап. інвестиції'!I8</f>
        <v>945</v>
      </c>
      <c r="J40" s="82">
        <v>0</v>
      </c>
    </row>
    <row r="41" spans="1:10" ht="19.5" customHeight="1">
      <c r="A41" s="127" t="s">
        <v>334</v>
      </c>
      <c r="B41" s="128"/>
      <c r="C41" s="520" t="s">
        <v>82</v>
      </c>
      <c r="D41" s="520"/>
      <c r="E41" s="520"/>
      <c r="F41" s="521"/>
      <c r="G41" s="129"/>
      <c r="H41" s="517" t="s">
        <v>325</v>
      </c>
      <c r="I41" s="517"/>
      <c r="J41" s="517"/>
    </row>
    <row r="42" spans="1:10" s="2" customFormat="1" ht="21" customHeight="1">
      <c r="A42" s="50" t="s">
        <v>58</v>
      </c>
      <c r="B42" s="130"/>
      <c r="C42" s="517" t="s">
        <v>59</v>
      </c>
      <c r="D42" s="517"/>
      <c r="E42" s="517"/>
      <c r="F42" s="517"/>
      <c r="G42" s="131"/>
      <c r="H42" s="517" t="s">
        <v>78</v>
      </c>
      <c r="I42" s="517"/>
      <c r="J42" s="517"/>
    </row>
    <row r="44" spans="1:10">
      <c r="A44" s="37"/>
    </row>
    <row r="45" spans="1:10">
      <c r="A45" s="37"/>
    </row>
    <row r="46" spans="1:10">
      <c r="A46" s="37"/>
    </row>
    <row r="47" spans="1:10" s="21" customFormat="1">
      <c r="A47" s="37"/>
      <c r="F47" s="3"/>
      <c r="G47" s="3"/>
      <c r="H47" s="3"/>
      <c r="I47" s="3"/>
      <c r="J47" s="3"/>
    </row>
    <row r="48" spans="1:10" s="21" customFormat="1">
      <c r="A48" s="37"/>
      <c r="F48" s="3"/>
      <c r="G48" s="3"/>
      <c r="H48" s="3"/>
      <c r="I48" s="3"/>
      <c r="J48" s="3"/>
    </row>
    <row r="49" spans="1:10" s="21" customFormat="1">
      <c r="A49" s="37"/>
      <c r="F49" s="3"/>
      <c r="G49" s="3"/>
      <c r="H49" s="3"/>
      <c r="I49" s="3"/>
      <c r="J49" s="3"/>
    </row>
    <row r="50" spans="1:10" s="21" customFormat="1">
      <c r="A50" s="37"/>
      <c r="F50" s="3"/>
      <c r="G50" s="3"/>
      <c r="H50" s="3"/>
      <c r="I50" s="3"/>
      <c r="J50" s="3"/>
    </row>
    <row r="51" spans="1:10" s="21" customFormat="1">
      <c r="A51" s="37"/>
      <c r="F51" s="3"/>
      <c r="G51" s="3"/>
      <c r="H51" s="3"/>
      <c r="I51" s="3"/>
      <c r="J51" s="3"/>
    </row>
    <row r="52" spans="1:10" s="21" customFormat="1">
      <c r="A52" s="37"/>
      <c r="F52" s="3"/>
      <c r="G52" s="3"/>
      <c r="H52" s="3"/>
      <c r="I52" s="3"/>
      <c r="J52" s="3"/>
    </row>
    <row r="53" spans="1:10" s="21" customFormat="1">
      <c r="A53" s="37"/>
      <c r="F53" s="3"/>
      <c r="G53" s="3"/>
      <c r="H53" s="3"/>
      <c r="I53" s="3"/>
      <c r="J53" s="3"/>
    </row>
    <row r="54" spans="1:10" s="21" customFormat="1">
      <c r="A54" s="37"/>
      <c r="F54" s="3"/>
      <c r="G54" s="3"/>
      <c r="H54" s="3"/>
      <c r="I54" s="3"/>
      <c r="J54" s="3"/>
    </row>
    <row r="55" spans="1:10" s="21" customFormat="1">
      <c r="A55" s="37"/>
      <c r="F55" s="3"/>
      <c r="G55" s="3"/>
      <c r="H55" s="3"/>
      <c r="I55" s="3"/>
      <c r="J55" s="3"/>
    </row>
    <row r="56" spans="1:10" s="21" customFormat="1">
      <c r="A56" s="37"/>
      <c r="F56" s="3"/>
      <c r="G56" s="3"/>
      <c r="H56" s="3"/>
      <c r="I56" s="3"/>
      <c r="J56" s="3"/>
    </row>
    <row r="57" spans="1:10" s="21" customFormat="1">
      <c r="A57" s="37"/>
      <c r="F57" s="3"/>
      <c r="G57" s="3"/>
      <c r="H57" s="3"/>
      <c r="I57" s="3"/>
      <c r="J57" s="3"/>
    </row>
    <row r="58" spans="1:10" s="21" customFormat="1">
      <c r="A58" s="37"/>
      <c r="F58" s="3"/>
      <c r="G58" s="3"/>
      <c r="H58" s="3"/>
      <c r="I58" s="3"/>
      <c r="J58" s="3"/>
    </row>
    <row r="59" spans="1:10" s="21" customFormat="1">
      <c r="A59" s="37"/>
      <c r="F59" s="3"/>
      <c r="G59" s="3"/>
      <c r="H59" s="3"/>
      <c r="I59" s="3"/>
      <c r="J59" s="3"/>
    </row>
    <row r="60" spans="1:10" s="21" customFormat="1">
      <c r="A60" s="37"/>
      <c r="F60" s="3"/>
      <c r="G60" s="3"/>
      <c r="H60" s="3"/>
      <c r="I60" s="3"/>
      <c r="J60" s="3"/>
    </row>
    <row r="61" spans="1:10" s="21" customFormat="1">
      <c r="A61" s="37"/>
      <c r="F61" s="3"/>
      <c r="G61" s="3"/>
      <c r="H61" s="3"/>
      <c r="I61" s="3"/>
      <c r="J61" s="3"/>
    </row>
    <row r="62" spans="1:10" s="21" customFormat="1">
      <c r="A62" s="37"/>
      <c r="F62" s="3"/>
      <c r="G62" s="3"/>
      <c r="H62" s="3"/>
      <c r="I62" s="3"/>
      <c r="J62" s="3"/>
    </row>
    <row r="63" spans="1:10" s="21" customFormat="1">
      <c r="A63" s="37"/>
      <c r="F63" s="3"/>
      <c r="G63" s="3"/>
      <c r="H63" s="3"/>
      <c r="I63" s="3"/>
      <c r="J63" s="3"/>
    </row>
    <row r="64" spans="1:10" s="21" customFormat="1">
      <c r="A64" s="37"/>
      <c r="F64" s="3"/>
      <c r="G64" s="3"/>
      <c r="H64" s="3"/>
      <c r="I64" s="3"/>
      <c r="J64" s="3"/>
    </row>
    <row r="65" spans="1:10" s="21" customFormat="1">
      <c r="A65" s="37"/>
      <c r="F65" s="3"/>
      <c r="G65" s="3"/>
      <c r="H65" s="3"/>
      <c r="I65" s="3"/>
      <c r="J65" s="3"/>
    </row>
    <row r="66" spans="1:10" s="21" customFormat="1">
      <c r="A66" s="37"/>
      <c r="F66" s="3"/>
      <c r="G66" s="3"/>
      <c r="H66" s="3"/>
      <c r="I66" s="3"/>
      <c r="J66" s="3"/>
    </row>
    <row r="67" spans="1:10" s="21" customFormat="1">
      <c r="A67" s="37"/>
      <c r="F67" s="3"/>
      <c r="G67" s="3"/>
      <c r="H67" s="3"/>
      <c r="I67" s="3"/>
      <c r="J67" s="3"/>
    </row>
    <row r="68" spans="1:10" s="21" customFormat="1">
      <c r="A68" s="37"/>
      <c r="F68" s="3"/>
      <c r="G68" s="3"/>
      <c r="H68" s="3"/>
      <c r="I68" s="3"/>
      <c r="J68" s="3"/>
    </row>
    <row r="69" spans="1:10" s="21" customFormat="1">
      <c r="A69" s="37"/>
      <c r="F69" s="3"/>
      <c r="G69" s="3"/>
      <c r="H69" s="3"/>
      <c r="I69" s="3"/>
      <c r="J69" s="3"/>
    </row>
    <row r="70" spans="1:10" s="21" customFormat="1">
      <c r="A70" s="37"/>
      <c r="F70" s="3"/>
      <c r="G70" s="3"/>
      <c r="H70" s="3"/>
      <c r="I70" s="3"/>
      <c r="J70" s="3"/>
    </row>
    <row r="71" spans="1:10" s="21" customFormat="1">
      <c r="A71" s="37"/>
      <c r="F71" s="3"/>
      <c r="G71" s="3"/>
      <c r="H71" s="3"/>
      <c r="I71" s="3"/>
      <c r="J71" s="3"/>
    </row>
    <row r="72" spans="1:10" s="21" customFormat="1">
      <c r="A72" s="37"/>
      <c r="F72" s="3"/>
      <c r="G72" s="3"/>
      <c r="H72" s="3"/>
      <c r="I72" s="3"/>
      <c r="J72" s="3"/>
    </row>
    <row r="73" spans="1:10" s="21" customFormat="1">
      <c r="A73" s="37"/>
      <c r="F73" s="3"/>
      <c r="G73" s="3"/>
      <c r="H73" s="3"/>
      <c r="I73" s="3"/>
      <c r="J73" s="3"/>
    </row>
    <row r="74" spans="1:10" s="21" customFormat="1">
      <c r="A74" s="37"/>
      <c r="F74" s="3"/>
      <c r="G74" s="3"/>
      <c r="H74" s="3"/>
      <c r="I74" s="3"/>
      <c r="J74" s="3"/>
    </row>
    <row r="75" spans="1:10" s="21" customFormat="1">
      <c r="A75" s="37"/>
      <c r="F75" s="3"/>
      <c r="G75" s="3"/>
      <c r="H75" s="3"/>
      <c r="I75" s="3"/>
      <c r="J75" s="3"/>
    </row>
    <row r="76" spans="1:10" s="21" customFormat="1">
      <c r="A76" s="37"/>
      <c r="F76" s="3"/>
      <c r="G76" s="3"/>
      <c r="H76" s="3"/>
      <c r="I76" s="3"/>
      <c r="J76" s="3"/>
    </row>
    <row r="77" spans="1:10" s="21" customFormat="1">
      <c r="A77" s="37"/>
      <c r="F77" s="3"/>
      <c r="G77" s="3"/>
      <c r="H77" s="3"/>
      <c r="I77" s="3"/>
      <c r="J77" s="3"/>
    </row>
    <row r="78" spans="1:10" s="21" customFormat="1">
      <c r="A78" s="37"/>
      <c r="F78" s="3"/>
      <c r="G78" s="3"/>
      <c r="H78" s="3"/>
      <c r="I78" s="3"/>
      <c r="J78" s="3"/>
    </row>
    <row r="79" spans="1:10" s="21" customFormat="1">
      <c r="A79" s="37"/>
      <c r="F79" s="3"/>
      <c r="G79" s="3"/>
      <c r="H79" s="3"/>
      <c r="I79" s="3"/>
      <c r="J79" s="3"/>
    </row>
    <row r="80" spans="1:10" s="21" customFormat="1">
      <c r="A80" s="37"/>
      <c r="F80" s="3"/>
      <c r="G80" s="3"/>
      <c r="H80" s="3"/>
      <c r="I80" s="3"/>
      <c r="J80" s="3"/>
    </row>
    <row r="81" spans="1:10" s="21" customFormat="1">
      <c r="A81" s="37"/>
      <c r="F81" s="3"/>
      <c r="G81" s="3"/>
      <c r="H81" s="3"/>
      <c r="I81" s="3"/>
      <c r="J81" s="3"/>
    </row>
    <row r="82" spans="1:10" s="21" customFormat="1">
      <c r="A82" s="37"/>
      <c r="F82" s="3"/>
      <c r="G82" s="3"/>
      <c r="H82" s="3"/>
      <c r="I82" s="3"/>
      <c r="J82" s="3"/>
    </row>
    <row r="83" spans="1:10" s="21" customFormat="1">
      <c r="A83" s="37"/>
      <c r="F83" s="3"/>
      <c r="G83" s="3"/>
      <c r="H83" s="3"/>
      <c r="I83" s="3"/>
      <c r="J83" s="3"/>
    </row>
    <row r="84" spans="1:10" s="21" customFormat="1">
      <c r="A84" s="37"/>
      <c r="F84" s="3"/>
      <c r="G84" s="3"/>
      <c r="H84" s="3"/>
      <c r="I84" s="3"/>
      <c r="J84" s="3"/>
    </row>
    <row r="85" spans="1:10" s="21" customFormat="1">
      <c r="A85" s="37"/>
      <c r="F85" s="3"/>
      <c r="G85" s="3"/>
      <c r="H85" s="3"/>
      <c r="I85" s="3"/>
      <c r="J85" s="3"/>
    </row>
    <row r="86" spans="1:10" s="21" customFormat="1">
      <c r="A86" s="37"/>
      <c r="F86" s="3"/>
      <c r="G86" s="3"/>
      <c r="H86" s="3"/>
      <c r="I86" s="3"/>
      <c r="J86" s="3"/>
    </row>
    <row r="87" spans="1:10" s="21" customFormat="1">
      <c r="A87" s="37"/>
      <c r="F87" s="3"/>
      <c r="G87" s="3"/>
      <c r="H87" s="3"/>
      <c r="I87" s="3"/>
      <c r="J87" s="3"/>
    </row>
    <row r="88" spans="1:10" s="21" customFormat="1">
      <c r="A88" s="37"/>
      <c r="F88" s="3"/>
      <c r="G88" s="3"/>
      <c r="H88" s="3"/>
      <c r="I88" s="3"/>
      <c r="J88" s="3"/>
    </row>
    <row r="89" spans="1:10" s="21" customFormat="1">
      <c r="A89" s="37"/>
      <c r="F89" s="3"/>
      <c r="G89" s="3"/>
      <c r="H89" s="3"/>
      <c r="I89" s="3"/>
      <c r="J89" s="3"/>
    </row>
    <row r="90" spans="1:10" s="21" customFormat="1">
      <c r="A90" s="37"/>
      <c r="F90" s="3"/>
      <c r="G90" s="3"/>
      <c r="H90" s="3"/>
      <c r="I90" s="3"/>
      <c r="J90" s="3"/>
    </row>
    <row r="91" spans="1:10" s="21" customFormat="1">
      <c r="A91" s="37"/>
      <c r="F91" s="3"/>
      <c r="G91" s="3"/>
      <c r="H91" s="3"/>
      <c r="I91" s="3"/>
      <c r="J91" s="3"/>
    </row>
    <row r="92" spans="1:10" s="21" customFormat="1">
      <c r="A92" s="37"/>
      <c r="F92" s="3"/>
      <c r="G92" s="3"/>
      <c r="H92" s="3"/>
      <c r="I92" s="3"/>
      <c r="J92" s="3"/>
    </row>
    <row r="93" spans="1:10" s="21" customFormat="1">
      <c r="A93" s="37"/>
      <c r="F93" s="3"/>
      <c r="G93" s="3"/>
      <c r="H93" s="3"/>
      <c r="I93" s="3"/>
      <c r="J93" s="3"/>
    </row>
    <row r="94" spans="1:10" s="21" customFormat="1">
      <c r="A94" s="37"/>
      <c r="F94" s="3"/>
      <c r="G94" s="3"/>
      <c r="H94" s="3"/>
      <c r="I94" s="3"/>
      <c r="J94" s="3"/>
    </row>
    <row r="95" spans="1:10" s="21" customFormat="1">
      <c r="A95" s="37"/>
      <c r="F95" s="3"/>
      <c r="G95" s="3"/>
      <c r="H95" s="3"/>
      <c r="I95" s="3"/>
      <c r="J95" s="3"/>
    </row>
    <row r="96" spans="1:10" s="21" customFormat="1">
      <c r="A96" s="37"/>
      <c r="F96" s="3"/>
      <c r="G96" s="3"/>
      <c r="H96" s="3"/>
      <c r="I96" s="3"/>
      <c r="J96" s="3"/>
    </row>
    <row r="97" spans="1:10" s="21" customFormat="1">
      <c r="A97" s="37"/>
      <c r="F97" s="3"/>
      <c r="G97" s="3"/>
      <c r="H97" s="3"/>
      <c r="I97" s="3"/>
      <c r="J97" s="3"/>
    </row>
    <row r="98" spans="1:10" s="21" customFormat="1">
      <c r="A98" s="37"/>
      <c r="F98" s="3"/>
      <c r="G98" s="3"/>
      <c r="H98" s="3"/>
      <c r="I98" s="3"/>
      <c r="J98" s="3"/>
    </row>
    <row r="99" spans="1:10" s="21" customFormat="1">
      <c r="A99" s="37"/>
      <c r="F99" s="3"/>
      <c r="G99" s="3"/>
      <c r="H99" s="3"/>
      <c r="I99" s="3"/>
      <c r="J99" s="3"/>
    </row>
    <row r="100" spans="1:10" s="21" customFormat="1">
      <c r="A100" s="37"/>
      <c r="F100" s="3"/>
      <c r="G100" s="3"/>
      <c r="H100" s="3"/>
      <c r="I100" s="3"/>
      <c r="J100" s="3"/>
    </row>
    <row r="101" spans="1:10" s="21" customFormat="1">
      <c r="A101" s="37"/>
      <c r="F101" s="3"/>
      <c r="G101" s="3"/>
      <c r="H101" s="3"/>
      <c r="I101" s="3"/>
      <c r="J101" s="3"/>
    </row>
    <row r="102" spans="1:10" s="21" customFormat="1">
      <c r="A102" s="37"/>
      <c r="F102" s="3"/>
      <c r="G102" s="3"/>
      <c r="H102" s="3"/>
      <c r="I102" s="3"/>
      <c r="J102" s="3"/>
    </row>
    <row r="103" spans="1:10" s="21" customFormat="1">
      <c r="A103" s="37"/>
      <c r="F103" s="3"/>
      <c r="G103" s="3"/>
      <c r="H103" s="3"/>
      <c r="I103" s="3"/>
      <c r="J103" s="3"/>
    </row>
    <row r="104" spans="1:10" s="21" customFormat="1">
      <c r="A104" s="37"/>
      <c r="F104" s="3"/>
      <c r="G104" s="3"/>
      <c r="H104" s="3"/>
      <c r="I104" s="3"/>
      <c r="J104" s="3"/>
    </row>
    <row r="105" spans="1:10" s="21" customFormat="1">
      <c r="A105" s="37"/>
      <c r="F105" s="3"/>
      <c r="G105" s="3"/>
      <c r="H105" s="3"/>
      <c r="I105" s="3"/>
      <c r="J105" s="3"/>
    </row>
    <row r="106" spans="1:10" s="21" customFormat="1">
      <c r="A106" s="37"/>
      <c r="F106" s="3"/>
      <c r="G106" s="3"/>
      <c r="H106" s="3"/>
      <c r="I106" s="3"/>
      <c r="J106" s="3"/>
    </row>
    <row r="107" spans="1:10" s="21" customFormat="1">
      <c r="A107" s="37"/>
      <c r="F107" s="3"/>
      <c r="G107" s="3"/>
      <c r="H107" s="3"/>
      <c r="I107" s="3"/>
      <c r="J107" s="3"/>
    </row>
    <row r="108" spans="1:10" s="21" customFormat="1">
      <c r="A108" s="37"/>
      <c r="F108" s="3"/>
      <c r="G108" s="3"/>
      <c r="H108" s="3"/>
      <c r="I108" s="3"/>
      <c r="J108" s="3"/>
    </row>
    <row r="109" spans="1:10" s="21" customFormat="1">
      <c r="A109" s="37"/>
      <c r="F109" s="3"/>
      <c r="G109" s="3"/>
      <c r="H109" s="3"/>
      <c r="I109" s="3"/>
      <c r="J109" s="3"/>
    </row>
    <row r="110" spans="1:10" s="21" customFormat="1">
      <c r="A110" s="37"/>
      <c r="F110" s="3"/>
      <c r="G110" s="3"/>
      <c r="H110" s="3"/>
      <c r="I110" s="3"/>
      <c r="J110" s="3"/>
    </row>
    <row r="111" spans="1:10" s="21" customFormat="1">
      <c r="A111" s="37"/>
      <c r="F111" s="3"/>
      <c r="G111" s="3"/>
      <c r="H111" s="3"/>
      <c r="I111" s="3"/>
      <c r="J111" s="3"/>
    </row>
    <row r="112" spans="1:10" s="21" customFormat="1">
      <c r="A112" s="37"/>
      <c r="F112" s="3"/>
      <c r="G112" s="3"/>
      <c r="H112" s="3"/>
      <c r="I112" s="3"/>
      <c r="J112" s="3"/>
    </row>
    <row r="113" spans="1:10" s="21" customFormat="1">
      <c r="A113" s="37"/>
      <c r="F113" s="3"/>
      <c r="G113" s="3"/>
      <c r="H113" s="3"/>
      <c r="I113" s="3"/>
      <c r="J113" s="3"/>
    </row>
    <row r="114" spans="1:10" s="21" customFormat="1">
      <c r="A114" s="37"/>
      <c r="F114" s="3"/>
      <c r="G114" s="3"/>
      <c r="H114" s="3"/>
      <c r="I114" s="3"/>
      <c r="J114" s="3"/>
    </row>
    <row r="115" spans="1:10" s="21" customFormat="1">
      <c r="A115" s="37"/>
      <c r="F115" s="3"/>
      <c r="G115" s="3"/>
      <c r="H115" s="3"/>
      <c r="I115" s="3"/>
      <c r="J115" s="3"/>
    </row>
    <row r="116" spans="1:10" s="21" customFormat="1">
      <c r="A116" s="37"/>
      <c r="F116" s="3"/>
      <c r="G116" s="3"/>
      <c r="H116" s="3"/>
      <c r="I116" s="3"/>
      <c r="J116" s="3"/>
    </row>
    <row r="117" spans="1:10" s="21" customFormat="1">
      <c r="A117" s="37"/>
      <c r="F117" s="3"/>
      <c r="G117" s="3"/>
      <c r="H117" s="3"/>
      <c r="I117" s="3"/>
      <c r="J117" s="3"/>
    </row>
    <row r="118" spans="1:10" s="21" customFormat="1">
      <c r="A118" s="37"/>
      <c r="F118" s="3"/>
      <c r="G118" s="3"/>
      <c r="H118" s="3"/>
      <c r="I118" s="3"/>
      <c r="J118" s="3"/>
    </row>
    <row r="119" spans="1:10" s="21" customFormat="1">
      <c r="A119" s="37"/>
      <c r="F119" s="3"/>
      <c r="G119" s="3"/>
      <c r="H119" s="3"/>
      <c r="I119" s="3"/>
      <c r="J119" s="3"/>
    </row>
    <row r="120" spans="1:10" s="21" customFormat="1">
      <c r="A120" s="37"/>
      <c r="F120" s="3"/>
      <c r="G120" s="3"/>
      <c r="H120" s="3"/>
      <c r="I120" s="3"/>
      <c r="J120" s="3"/>
    </row>
    <row r="121" spans="1:10" s="21" customFormat="1">
      <c r="A121" s="37"/>
      <c r="F121" s="3"/>
      <c r="G121" s="3"/>
      <c r="H121" s="3"/>
      <c r="I121" s="3"/>
      <c r="J121" s="3"/>
    </row>
    <row r="122" spans="1:10" s="21" customFormat="1">
      <c r="A122" s="37"/>
      <c r="F122" s="3"/>
      <c r="G122" s="3"/>
      <c r="H122" s="3"/>
      <c r="I122" s="3"/>
      <c r="J122" s="3"/>
    </row>
    <row r="123" spans="1:10" s="21" customFormat="1">
      <c r="A123" s="37"/>
      <c r="F123" s="3"/>
      <c r="G123" s="3"/>
      <c r="H123" s="3"/>
      <c r="I123" s="3"/>
      <c r="J123" s="3"/>
    </row>
    <row r="124" spans="1:10" s="21" customFormat="1">
      <c r="A124" s="37"/>
      <c r="F124" s="3"/>
      <c r="G124" s="3"/>
      <c r="H124" s="3"/>
      <c r="I124" s="3"/>
      <c r="J124" s="3"/>
    </row>
    <row r="125" spans="1:10" s="21" customFormat="1">
      <c r="A125" s="37"/>
      <c r="F125" s="3"/>
      <c r="G125" s="3"/>
      <c r="H125" s="3"/>
      <c r="I125" s="3"/>
      <c r="J125" s="3"/>
    </row>
    <row r="126" spans="1:10" s="21" customFormat="1">
      <c r="A126" s="37"/>
      <c r="F126" s="3"/>
      <c r="G126" s="3"/>
      <c r="H126" s="3"/>
      <c r="I126" s="3"/>
      <c r="J126" s="3"/>
    </row>
    <row r="127" spans="1:10" s="21" customFormat="1">
      <c r="A127" s="37"/>
      <c r="F127" s="3"/>
      <c r="G127" s="3"/>
      <c r="H127" s="3"/>
      <c r="I127" s="3"/>
      <c r="J127" s="3"/>
    </row>
    <row r="128" spans="1:10" s="21" customFormat="1">
      <c r="A128" s="37"/>
      <c r="F128" s="3"/>
      <c r="G128" s="3"/>
      <c r="H128" s="3"/>
      <c r="I128" s="3"/>
      <c r="J128" s="3"/>
    </row>
    <row r="129" spans="1:10" s="21" customFormat="1">
      <c r="A129" s="37"/>
      <c r="F129" s="3"/>
      <c r="G129" s="3"/>
      <c r="H129" s="3"/>
      <c r="I129" s="3"/>
      <c r="J129" s="3"/>
    </row>
    <row r="130" spans="1:10" s="21" customFormat="1">
      <c r="A130" s="37"/>
      <c r="F130" s="3"/>
      <c r="G130" s="3"/>
      <c r="H130" s="3"/>
      <c r="I130" s="3"/>
      <c r="J130" s="3"/>
    </row>
    <row r="131" spans="1:10" s="21" customFormat="1">
      <c r="A131" s="37"/>
      <c r="F131" s="3"/>
      <c r="G131" s="3"/>
      <c r="H131" s="3"/>
      <c r="I131" s="3"/>
      <c r="J131" s="3"/>
    </row>
    <row r="132" spans="1:10" s="21" customFormat="1">
      <c r="A132" s="37"/>
      <c r="F132" s="3"/>
      <c r="G132" s="3"/>
      <c r="H132" s="3"/>
      <c r="I132" s="3"/>
      <c r="J132" s="3"/>
    </row>
    <row r="133" spans="1:10" s="21" customFormat="1">
      <c r="A133" s="37"/>
      <c r="F133" s="3"/>
      <c r="G133" s="3"/>
      <c r="H133" s="3"/>
      <c r="I133" s="3"/>
      <c r="J133" s="3"/>
    </row>
    <row r="134" spans="1:10" s="21" customFormat="1">
      <c r="A134" s="37"/>
      <c r="F134" s="3"/>
      <c r="G134" s="3"/>
      <c r="H134" s="3"/>
      <c r="I134" s="3"/>
      <c r="J134" s="3"/>
    </row>
    <row r="135" spans="1:10" s="21" customFormat="1">
      <c r="A135" s="37"/>
      <c r="F135" s="3"/>
      <c r="G135" s="3"/>
      <c r="H135" s="3"/>
      <c r="I135" s="3"/>
      <c r="J135" s="3"/>
    </row>
    <row r="136" spans="1:10" s="21" customFormat="1">
      <c r="A136" s="37"/>
      <c r="F136" s="3"/>
      <c r="G136" s="3"/>
      <c r="H136" s="3"/>
      <c r="I136" s="3"/>
      <c r="J136" s="3"/>
    </row>
    <row r="137" spans="1:10" s="21" customFormat="1">
      <c r="A137" s="37"/>
      <c r="F137" s="3"/>
      <c r="G137" s="3"/>
      <c r="H137" s="3"/>
      <c r="I137" s="3"/>
      <c r="J137" s="3"/>
    </row>
    <row r="138" spans="1:10" s="21" customFormat="1">
      <c r="A138" s="37"/>
      <c r="F138" s="3"/>
      <c r="G138" s="3"/>
      <c r="H138" s="3"/>
      <c r="I138" s="3"/>
      <c r="J138" s="3"/>
    </row>
    <row r="139" spans="1:10" s="21" customFormat="1">
      <c r="A139" s="37"/>
      <c r="F139" s="3"/>
      <c r="G139" s="3"/>
      <c r="H139" s="3"/>
      <c r="I139" s="3"/>
      <c r="J139" s="3"/>
    </row>
    <row r="140" spans="1:10" s="21" customFormat="1">
      <c r="A140" s="37"/>
      <c r="F140" s="3"/>
      <c r="G140" s="3"/>
      <c r="H140" s="3"/>
      <c r="I140" s="3"/>
      <c r="J140" s="3"/>
    </row>
    <row r="141" spans="1:10" s="21" customFormat="1">
      <c r="A141" s="37"/>
      <c r="F141" s="3"/>
      <c r="G141" s="3"/>
      <c r="H141" s="3"/>
      <c r="I141" s="3"/>
      <c r="J141" s="3"/>
    </row>
    <row r="142" spans="1:10" s="21" customFormat="1">
      <c r="A142" s="37"/>
      <c r="F142" s="3"/>
      <c r="G142" s="3"/>
      <c r="H142" s="3"/>
      <c r="I142" s="3"/>
      <c r="J142" s="3"/>
    </row>
    <row r="143" spans="1:10" s="21" customFormat="1">
      <c r="A143" s="37"/>
      <c r="F143" s="3"/>
      <c r="G143" s="3"/>
      <c r="H143" s="3"/>
      <c r="I143" s="3"/>
      <c r="J143" s="3"/>
    </row>
    <row r="144" spans="1:10" s="21" customFormat="1">
      <c r="A144" s="37"/>
      <c r="F144" s="3"/>
      <c r="G144" s="3"/>
      <c r="H144" s="3"/>
      <c r="I144" s="3"/>
      <c r="J144" s="3"/>
    </row>
    <row r="145" spans="1:10" s="21" customFormat="1">
      <c r="A145" s="37"/>
      <c r="F145" s="3"/>
      <c r="G145" s="3"/>
      <c r="H145" s="3"/>
      <c r="I145" s="3"/>
      <c r="J145" s="3"/>
    </row>
    <row r="146" spans="1:10" s="21" customFormat="1">
      <c r="A146" s="37"/>
      <c r="F146" s="3"/>
      <c r="G146" s="3"/>
      <c r="H146" s="3"/>
      <c r="I146" s="3"/>
      <c r="J146" s="3"/>
    </row>
    <row r="147" spans="1:10" s="21" customFormat="1">
      <c r="A147" s="37"/>
      <c r="F147" s="3"/>
      <c r="G147" s="3"/>
      <c r="H147" s="3"/>
      <c r="I147" s="3"/>
      <c r="J147" s="3"/>
    </row>
    <row r="148" spans="1:10" s="21" customFormat="1">
      <c r="A148" s="37"/>
      <c r="F148" s="3"/>
      <c r="G148" s="3"/>
      <c r="H148" s="3"/>
      <c r="I148" s="3"/>
      <c r="J148" s="3"/>
    </row>
    <row r="149" spans="1:10" s="21" customFormat="1">
      <c r="A149" s="37"/>
      <c r="F149" s="3"/>
      <c r="G149" s="3"/>
      <c r="H149" s="3"/>
      <c r="I149" s="3"/>
      <c r="J149" s="3"/>
    </row>
    <row r="150" spans="1:10" s="21" customFormat="1">
      <c r="A150" s="37"/>
      <c r="F150" s="3"/>
      <c r="G150" s="3"/>
      <c r="H150" s="3"/>
      <c r="I150" s="3"/>
      <c r="J150" s="3"/>
    </row>
    <row r="151" spans="1:10" s="21" customFormat="1">
      <c r="A151" s="37"/>
      <c r="F151" s="3"/>
      <c r="G151" s="3"/>
      <c r="H151" s="3"/>
      <c r="I151" s="3"/>
      <c r="J151" s="3"/>
    </row>
    <row r="152" spans="1:10" s="21" customFormat="1">
      <c r="A152" s="37"/>
      <c r="F152" s="3"/>
      <c r="G152" s="3"/>
      <c r="H152" s="3"/>
      <c r="I152" s="3"/>
      <c r="J152" s="3"/>
    </row>
    <row r="153" spans="1:10" s="21" customFormat="1">
      <c r="A153" s="37"/>
      <c r="F153" s="3"/>
      <c r="G153" s="3"/>
      <c r="H153" s="3"/>
      <c r="I153" s="3"/>
      <c r="J153" s="3"/>
    </row>
    <row r="154" spans="1:10" s="21" customFormat="1">
      <c r="A154" s="37"/>
      <c r="F154" s="3"/>
      <c r="G154" s="3"/>
      <c r="H154" s="3"/>
      <c r="I154" s="3"/>
      <c r="J154" s="3"/>
    </row>
    <row r="155" spans="1:10" s="21" customFormat="1">
      <c r="A155" s="37"/>
      <c r="F155" s="3"/>
      <c r="G155" s="3"/>
      <c r="H155" s="3"/>
      <c r="I155" s="3"/>
      <c r="J155" s="3"/>
    </row>
    <row r="156" spans="1:10" s="21" customFormat="1">
      <c r="A156" s="37"/>
      <c r="F156" s="3"/>
      <c r="G156" s="3"/>
      <c r="H156" s="3"/>
      <c r="I156" s="3"/>
      <c r="J156" s="3"/>
    </row>
    <row r="157" spans="1:10" s="21" customFormat="1">
      <c r="A157" s="37"/>
      <c r="F157" s="3"/>
      <c r="G157" s="3"/>
      <c r="H157" s="3"/>
      <c r="I157" s="3"/>
      <c r="J157" s="3"/>
    </row>
    <row r="158" spans="1:10" s="21" customFormat="1">
      <c r="A158" s="37"/>
      <c r="F158" s="3"/>
      <c r="G158" s="3"/>
      <c r="H158" s="3"/>
      <c r="I158" s="3"/>
      <c r="J158" s="3"/>
    </row>
    <row r="159" spans="1:10" s="21" customFormat="1">
      <c r="A159" s="37"/>
      <c r="F159" s="3"/>
      <c r="G159" s="3"/>
      <c r="H159" s="3"/>
      <c r="I159" s="3"/>
      <c r="J159" s="3"/>
    </row>
    <row r="160" spans="1:10" s="21" customFormat="1">
      <c r="A160" s="37"/>
      <c r="F160" s="3"/>
      <c r="G160" s="3"/>
      <c r="H160" s="3"/>
      <c r="I160" s="3"/>
      <c r="J160" s="3"/>
    </row>
    <row r="161" spans="1:10" s="21" customFormat="1">
      <c r="A161" s="37"/>
      <c r="F161" s="3"/>
      <c r="G161" s="3"/>
      <c r="H161" s="3"/>
      <c r="I161" s="3"/>
      <c r="J161" s="3"/>
    </row>
    <row r="162" spans="1:10" s="21" customFormat="1">
      <c r="A162" s="37"/>
      <c r="F162" s="3"/>
      <c r="G162" s="3"/>
      <c r="H162" s="3"/>
      <c r="I162" s="3"/>
      <c r="J162" s="3"/>
    </row>
    <row r="163" spans="1:10" s="21" customFormat="1">
      <c r="A163" s="37"/>
      <c r="F163" s="3"/>
      <c r="G163" s="3"/>
      <c r="H163" s="3"/>
      <c r="I163" s="3"/>
      <c r="J163" s="3"/>
    </row>
    <row r="164" spans="1:10" s="21" customFormat="1">
      <c r="A164" s="37"/>
      <c r="F164" s="3"/>
      <c r="G164" s="3"/>
      <c r="H164" s="3"/>
      <c r="I164" s="3"/>
      <c r="J164" s="3"/>
    </row>
    <row r="165" spans="1:10" s="21" customFormat="1">
      <c r="A165" s="37"/>
      <c r="F165" s="3"/>
      <c r="G165" s="3"/>
      <c r="H165" s="3"/>
      <c r="I165" s="3"/>
      <c r="J165" s="3"/>
    </row>
    <row r="166" spans="1:10" s="21" customFormat="1">
      <c r="A166" s="37"/>
      <c r="F166" s="3"/>
      <c r="G166" s="3"/>
      <c r="H166" s="3"/>
      <c r="I166" s="3"/>
      <c r="J166" s="3"/>
    </row>
    <row r="167" spans="1:10" s="21" customFormat="1">
      <c r="A167" s="37"/>
      <c r="F167" s="3"/>
      <c r="G167" s="3"/>
      <c r="H167" s="3"/>
      <c r="I167" s="3"/>
      <c r="J167" s="3"/>
    </row>
    <row r="168" spans="1:10" s="21" customFormat="1">
      <c r="A168" s="37"/>
      <c r="F168" s="3"/>
      <c r="G168" s="3"/>
      <c r="H168" s="3"/>
      <c r="I168" s="3"/>
      <c r="J168" s="3"/>
    </row>
    <row r="169" spans="1:10" s="21" customFormat="1">
      <c r="A169" s="37"/>
      <c r="F169" s="3"/>
      <c r="G169" s="3"/>
      <c r="H169" s="3"/>
      <c r="I169" s="3"/>
      <c r="J169" s="3"/>
    </row>
    <row r="170" spans="1:10" s="21" customFormat="1">
      <c r="A170" s="37"/>
      <c r="F170" s="3"/>
      <c r="G170" s="3"/>
      <c r="H170" s="3"/>
      <c r="I170" s="3"/>
      <c r="J170" s="3"/>
    </row>
    <row r="171" spans="1:10" s="21" customFormat="1">
      <c r="A171" s="37"/>
      <c r="F171" s="3"/>
      <c r="G171" s="3"/>
      <c r="H171" s="3"/>
      <c r="I171" s="3"/>
      <c r="J171" s="3"/>
    </row>
    <row r="172" spans="1:10" s="21" customFormat="1">
      <c r="A172" s="37"/>
      <c r="F172" s="3"/>
      <c r="G172" s="3"/>
      <c r="H172" s="3"/>
      <c r="I172" s="3"/>
      <c r="J172" s="3"/>
    </row>
    <row r="173" spans="1:10" s="21" customFormat="1">
      <c r="A173" s="37"/>
      <c r="F173" s="3"/>
      <c r="G173" s="3"/>
      <c r="H173" s="3"/>
      <c r="I173" s="3"/>
      <c r="J173" s="3"/>
    </row>
    <row r="174" spans="1:10" s="21" customFormat="1">
      <c r="A174" s="37"/>
      <c r="F174" s="3"/>
      <c r="G174" s="3"/>
      <c r="H174" s="3"/>
      <c r="I174" s="3"/>
      <c r="J174" s="3"/>
    </row>
    <row r="175" spans="1:10" s="21" customFormat="1">
      <c r="A175" s="37"/>
      <c r="F175" s="3"/>
      <c r="G175" s="3"/>
      <c r="H175" s="3"/>
      <c r="I175" s="3"/>
      <c r="J175" s="3"/>
    </row>
    <row r="176" spans="1:10" s="21" customFormat="1">
      <c r="A176" s="37"/>
      <c r="F176" s="3"/>
      <c r="G176" s="3"/>
      <c r="H176" s="3"/>
      <c r="I176" s="3"/>
      <c r="J176" s="3"/>
    </row>
    <row r="177" spans="1:10" s="21" customFormat="1">
      <c r="A177" s="37"/>
      <c r="F177" s="3"/>
      <c r="G177" s="3"/>
      <c r="H177" s="3"/>
      <c r="I177" s="3"/>
      <c r="J177" s="3"/>
    </row>
    <row r="178" spans="1:10" s="21" customFormat="1">
      <c r="A178" s="37"/>
      <c r="F178" s="3"/>
      <c r="G178" s="3"/>
      <c r="H178" s="3"/>
      <c r="I178" s="3"/>
      <c r="J178" s="3"/>
    </row>
    <row r="179" spans="1:10" s="21" customFormat="1">
      <c r="A179" s="37"/>
      <c r="F179" s="3"/>
      <c r="G179" s="3"/>
      <c r="H179" s="3"/>
      <c r="I179" s="3"/>
      <c r="J179" s="3"/>
    </row>
    <row r="180" spans="1:10" s="21" customFormat="1">
      <c r="A180" s="37"/>
      <c r="F180" s="3"/>
      <c r="G180" s="3"/>
      <c r="H180" s="3"/>
      <c r="I180" s="3"/>
      <c r="J180" s="3"/>
    </row>
    <row r="181" spans="1:10" s="21" customFormat="1">
      <c r="A181" s="37"/>
      <c r="F181" s="3"/>
      <c r="G181" s="3"/>
      <c r="H181" s="3"/>
      <c r="I181" s="3"/>
      <c r="J181" s="3"/>
    </row>
    <row r="182" spans="1:10" s="21" customFormat="1">
      <c r="A182" s="37"/>
      <c r="F182" s="3"/>
      <c r="G182" s="3"/>
      <c r="H182" s="3"/>
      <c r="I182" s="3"/>
      <c r="J182" s="3"/>
    </row>
    <row r="183" spans="1:10" s="21" customFormat="1">
      <c r="A183" s="37"/>
      <c r="F183" s="3"/>
      <c r="G183" s="3"/>
      <c r="H183" s="3"/>
      <c r="I183" s="3"/>
      <c r="J183" s="3"/>
    </row>
    <row r="184" spans="1:10" s="21" customFormat="1">
      <c r="A184" s="37"/>
      <c r="F184" s="3"/>
      <c r="G184" s="3"/>
      <c r="H184" s="3"/>
      <c r="I184" s="3"/>
      <c r="J184" s="3"/>
    </row>
    <row r="185" spans="1:10" s="21" customFormat="1">
      <c r="A185" s="37"/>
      <c r="F185" s="3"/>
      <c r="G185" s="3"/>
      <c r="H185" s="3"/>
      <c r="I185" s="3"/>
      <c r="J185" s="3"/>
    </row>
    <row r="186" spans="1:10" s="21" customFormat="1">
      <c r="A186" s="37"/>
      <c r="F186" s="3"/>
      <c r="G186" s="3"/>
      <c r="H186" s="3"/>
      <c r="I186" s="3"/>
      <c r="J186" s="3"/>
    </row>
    <row r="187" spans="1:10" s="21" customFormat="1">
      <c r="A187" s="37"/>
      <c r="F187" s="3"/>
      <c r="G187" s="3"/>
      <c r="H187" s="3"/>
      <c r="I187" s="3"/>
      <c r="J187" s="3"/>
    </row>
    <row r="188" spans="1:10" s="21" customFormat="1">
      <c r="A188" s="37"/>
      <c r="F188" s="3"/>
      <c r="G188" s="3"/>
      <c r="H188" s="3"/>
      <c r="I188" s="3"/>
      <c r="J188" s="3"/>
    </row>
    <row r="189" spans="1:10" s="21" customFormat="1">
      <c r="A189" s="37"/>
      <c r="F189" s="3"/>
      <c r="G189" s="3"/>
      <c r="H189" s="3"/>
      <c r="I189" s="3"/>
      <c r="J189" s="3"/>
    </row>
    <row r="190" spans="1:10" s="21" customFormat="1">
      <c r="A190" s="37"/>
      <c r="F190" s="3"/>
      <c r="G190" s="3"/>
      <c r="H190" s="3"/>
      <c r="I190" s="3"/>
      <c r="J190" s="3"/>
    </row>
    <row r="191" spans="1:10" s="21" customFormat="1">
      <c r="A191" s="37"/>
      <c r="F191" s="3"/>
      <c r="G191" s="3"/>
      <c r="H191" s="3"/>
      <c r="I191" s="3"/>
      <c r="J191" s="3"/>
    </row>
    <row r="192" spans="1:10" s="21" customFormat="1">
      <c r="A192" s="37"/>
      <c r="F192" s="3"/>
      <c r="G192" s="3"/>
      <c r="H192" s="3"/>
      <c r="I192" s="3"/>
      <c r="J192" s="3"/>
    </row>
    <row r="193" spans="1:10" s="21" customFormat="1">
      <c r="A193" s="37"/>
      <c r="F193" s="3"/>
      <c r="G193" s="3"/>
      <c r="H193" s="3"/>
      <c r="I193" s="3"/>
      <c r="J193" s="3"/>
    </row>
    <row r="194" spans="1:10" s="21" customFormat="1">
      <c r="A194" s="37"/>
      <c r="F194" s="3"/>
      <c r="G194" s="3"/>
      <c r="H194" s="3"/>
      <c r="I194" s="3"/>
      <c r="J194" s="3"/>
    </row>
    <row r="195" spans="1:10" s="21" customFormat="1">
      <c r="A195" s="37"/>
      <c r="F195" s="3"/>
      <c r="G195" s="3"/>
      <c r="H195" s="3"/>
      <c r="I195" s="3"/>
      <c r="J195" s="3"/>
    </row>
    <row r="196" spans="1:10" s="21" customFormat="1">
      <c r="A196" s="37"/>
      <c r="F196" s="3"/>
      <c r="G196" s="3"/>
      <c r="H196" s="3"/>
      <c r="I196" s="3"/>
      <c r="J196" s="3"/>
    </row>
    <row r="197" spans="1:10" s="21" customFormat="1">
      <c r="A197" s="37"/>
      <c r="F197" s="3"/>
      <c r="G197" s="3"/>
      <c r="H197" s="3"/>
      <c r="I197" s="3"/>
      <c r="J197" s="3"/>
    </row>
    <row r="198" spans="1:10" s="21" customFormat="1">
      <c r="A198" s="37"/>
      <c r="F198" s="3"/>
      <c r="G198" s="3"/>
      <c r="H198" s="3"/>
      <c r="I198" s="3"/>
      <c r="J198" s="3"/>
    </row>
    <row r="199" spans="1:10" s="21" customFormat="1">
      <c r="A199" s="37"/>
      <c r="F199" s="3"/>
      <c r="G199" s="3"/>
      <c r="H199" s="3"/>
      <c r="I199" s="3"/>
      <c r="J199" s="3"/>
    </row>
    <row r="200" spans="1:10" s="21" customFormat="1">
      <c r="A200" s="37"/>
      <c r="F200" s="3"/>
      <c r="G200" s="3"/>
      <c r="H200" s="3"/>
      <c r="I200" s="3"/>
      <c r="J200" s="3"/>
    </row>
    <row r="201" spans="1:10" s="21" customFormat="1">
      <c r="A201" s="37"/>
      <c r="F201" s="3"/>
      <c r="G201" s="3"/>
      <c r="H201" s="3"/>
      <c r="I201" s="3"/>
      <c r="J201" s="3"/>
    </row>
    <row r="202" spans="1:10" s="21" customFormat="1">
      <c r="A202" s="37"/>
      <c r="F202" s="3"/>
      <c r="G202" s="3"/>
      <c r="H202" s="3"/>
      <c r="I202" s="3"/>
      <c r="J202" s="3"/>
    </row>
    <row r="203" spans="1:10" s="21" customFormat="1">
      <c r="A203" s="37"/>
      <c r="F203" s="3"/>
      <c r="G203" s="3"/>
      <c r="H203" s="3"/>
      <c r="I203" s="3"/>
      <c r="J203" s="3"/>
    </row>
    <row r="204" spans="1:10" s="21" customFormat="1">
      <c r="A204" s="37"/>
      <c r="F204" s="3"/>
      <c r="G204" s="3"/>
      <c r="H204" s="3"/>
      <c r="I204" s="3"/>
      <c r="J204" s="3"/>
    </row>
    <row r="205" spans="1:10" s="21" customFormat="1">
      <c r="A205" s="37"/>
      <c r="F205" s="3"/>
      <c r="G205" s="3"/>
      <c r="H205" s="3"/>
      <c r="I205" s="3"/>
      <c r="J205" s="3"/>
    </row>
    <row r="206" spans="1:10" s="21" customFormat="1">
      <c r="A206" s="37"/>
      <c r="F206" s="3"/>
      <c r="G206" s="3"/>
      <c r="H206" s="3"/>
      <c r="I206" s="3"/>
      <c r="J206" s="3"/>
    </row>
    <row r="207" spans="1:10" s="21" customFormat="1">
      <c r="A207" s="37"/>
      <c r="F207" s="3"/>
      <c r="G207" s="3"/>
      <c r="H207" s="3"/>
      <c r="I207" s="3"/>
      <c r="J207" s="3"/>
    </row>
    <row r="208" spans="1:10" s="21" customFormat="1">
      <c r="A208" s="37"/>
      <c r="F208" s="3"/>
      <c r="G208" s="3"/>
      <c r="H208" s="3"/>
      <c r="I208" s="3"/>
      <c r="J208" s="3"/>
    </row>
    <row r="209" spans="1:10" s="21" customFormat="1">
      <c r="A209" s="37"/>
      <c r="F209" s="3"/>
      <c r="G209" s="3"/>
      <c r="H209" s="3"/>
      <c r="I209" s="3"/>
      <c r="J209" s="3"/>
    </row>
    <row r="210" spans="1:10" s="21" customFormat="1">
      <c r="A210" s="37"/>
      <c r="F210" s="3"/>
      <c r="G210" s="3"/>
      <c r="H210" s="3"/>
      <c r="I210" s="3"/>
      <c r="J210" s="3"/>
    </row>
    <row r="211" spans="1:10" s="21" customFormat="1">
      <c r="A211" s="37"/>
      <c r="F211" s="3"/>
      <c r="G211" s="3"/>
      <c r="H211" s="3"/>
      <c r="I211" s="3"/>
      <c r="J211" s="3"/>
    </row>
  </sheetData>
  <mergeCells count="19">
    <mergeCell ref="A1:J1"/>
    <mergeCell ref="C42:F42"/>
    <mergeCell ref="H42:J42"/>
    <mergeCell ref="A5:A6"/>
    <mergeCell ref="B5:B6"/>
    <mergeCell ref="F5:F6"/>
    <mergeCell ref="G5:J5"/>
    <mergeCell ref="E5:E6"/>
    <mergeCell ref="C41:F41"/>
    <mergeCell ref="H41:J41"/>
    <mergeCell ref="A39:J39"/>
    <mergeCell ref="A8:J8"/>
    <mergeCell ref="C5:C6"/>
    <mergeCell ref="A32:J32"/>
    <mergeCell ref="A24:J24"/>
    <mergeCell ref="D5:D6"/>
    <mergeCell ref="A3:J3"/>
    <mergeCell ref="A2:J2"/>
    <mergeCell ref="A4:J4"/>
  </mergeCells>
  <phoneticPr fontId="3" type="noConversion"/>
  <pageMargins left="0.31496062992125984" right="0.11811023622047245" top="0.55118110236220474" bottom="0.15748031496062992" header="0.31496062992125984" footer="0.31496062992125984"/>
  <pageSetup paperSize="9" scale="65" orientation="portrait" verticalDpi="300" r:id="rId1"/>
  <headerFooter alignWithMargins="0">
    <oddHeader xml:space="preserve">&amp;C&amp;"Times New Roman,обычный"&amp;14&amp;R&amp;"Times New Roman,обычный"&amp;14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335"/>
  <sheetViews>
    <sheetView view="pageBreakPreview" topLeftCell="A100" zoomScale="60" zoomScaleNormal="80" workbookViewId="0">
      <selection activeCell="H1" sqref="H1:L1048576"/>
    </sheetView>
  </sheetViews>
  <sheetFormatPr defaultRowHeight="18.75" outlineLevelCol="1"/>
  <cols>
    <col min="1" max="1" width="46.7109375" style="239" customWidth="1"/>
    <col min="2" max="2" width="10.42578125" style="21" customWidth="1"/>
    <col min="3" max="3" width="12.28515625" style="21" customWidth="1"/>
    <col min="4" max="4" width="12.140625" style="21" customWidth="1" outlineLevel="1"/>
    <col min="5" max="5" width="13.7109375" style="239" customWidth="1" outlineLevel="1"/>
    <col min="6" max="6" width="14.5703125" style="239" customWidth="1"/>
    <col min="7" max="7" width="35.85546875" style="239" customWidth="1"/>
    <col min="8" max="8" width="24.5703125" style="239" customWidth="1"/>
    <col min="9" max="9" width="24.5703125" style="420" customWidth="1"/>
    <col min="10" max="11" width="14" style="239" customWidth="1"/>
    <col min="12" max="12" width="16.85546875" style="239" customWidth="1"/>
  </cols>
  <sheetData>
    <row r="1" spans="1:12" ht="20.25" customHeight="1">
      <c r="A1" s="526" t="s">
        <v>530</v>
      </c>
      <c r="B1" s="526"/>
      <c r="C1" s="526"/>
      <c r="D1" s="526"/>
      <c r="E1" s="526"/>
      <c r="F1" s="526"/>
      <c r="G1" s="526"/>
      <c r="H1" s="289"/>
      <c r="I1" s="289"/>
      <c r="J1" s="289"/>
      <c r="K1" s="289"/>
      <c r="L1" s="289"/>
    </row>
    <row r="2" spans="1:12" ht="15.75">
      <c r="A2" s="148"/>
      <c r="B2" s="73"/>
      <c r="C2" s="148"/>
      <c r="D2" s="148"/>
      <c r="E2" s="148"/>
      <c r="F2" s="148"/>
      <c r="G2" s="148"/>
      <c r="H2"/>
      <c r="I2"/>
      <c r="J2" s="148"/>
      <c r="K2" s="148"/>
      <c r="L2" s="148"/>
    </row>
    <row r="3" spans="1:12" ht="15.75" customHeight="1">
      <c r="A3" s="512" t="s">
        <v>183</v>
      </c>
      <c r="B3" s="519" t="s">
        <v>5</v>
      </c>
      <c r="C3" s="519" t="s">
        <v>414</v>
      </c>
      <c r="D3" s="519"/>
      <c r="E3" s="519"/>
      <c r="F3" s="519"/>
      <c r="G3" s="532" t="s">
        <v>419</v>
      </c>
      <c r="H3"/>
      <c r="I3"/>
      <c r="J3" s="257"/>
      <c r="K3" s="258"/>
      <c r="L3" s="258"/>
    </row>
    <row r="4" spans="1:12" ht="48.75" customHeight="1">
      <c r="A4" s="512"/>
      <c r="B4" s="519"/>
      <c r="C4" s="259" t="s">
        <v>412</v>
      </c>
      <c r="D4" s="259" t="s">
        <v>415</v>
      </c>
      <c r="E4" s="259" t="s">
        <v>416</v>
      </c>
      <c r="F4" s="259" t="s">
        <v>418</v>
      </c>
      <c r="G4" s="533"/>
      <c r="H4"/>
      <c r="I4"/>
      <c r="J4" s="219"/>
      <c r="K4" s="219"/>
      <c r="L4" s="219"/>
    </row>
    <row r="5" spans="1:12" ht="15.75">
      <c r="A5" s="112">
        <v>1</v>
      </c>
      <c r="B5" s="235">
        <v>2</v>
      </c>
      <c r="C5" s="235">
        <v>4</v>
      </c>
      <c r="D5" s="235">
        <v>5</v>
      </c>
      <c r="E5" s="235">
        <v>6</v>
      </c>
      <c r="F5" s="235">
        <v>7</v>
      </c>
      <c r="G5" s="235"/>
      <c r="H5"/>
      <c r="I5"/>
      <c r="J5" s="235"/>
      <c r="K5" s="235"/>
      <c r="L5" s="235"/>
    </row>
    <row r="6" spans="1:12">
      <c r="A6" s="530" t="s">
        <v>226</v>
      </c>
      <c r="B6" s="530"/>
      <c r="C6" s="530"/>
      <c r="D6" s="530"/>
      <c r="E6" s="530"/>
      <c r="F6" s="530"/>
      <c r="G6" s="530"/>
      <c r="H6"/>
      <c r="I6"/>
      <c r="J6" s="276"/>
      <c r="K6" s="276"/>
      <c r="L6" s="277"/>
    </row>
    <row r="7" spans="1:12" ht="39" customHeight="1">
      <c r="A7" s="419" t="s">
        <v>528</v>
      </c>
      <c r="B7" s="226">
        <v>1000</v>
      </c>
      <c r="C7" s="82">
        <f t="shared" ref="C7:D7" si="0">C8+C10</f>
        <v>7670.3</v>
      </c>
      <c r="D7" s="82">
        <f t="shared" si="0"/>
        <v>8922.7000000000007</v>
      </c>
      <c r="E7" s="82">
        <f>D7-C7</f>
        <v>1252.4000000000005</v>
      </c>
      <c r="F7" s="212">
        <f>D7/C7*100</f>
        <v>116.32791416241868</v>
      </c>
      <c r="G7" s="538" t="s">
        <v>544</v>
      </c>
      <c r="H7" s="467"/>
      <c r="I7"/>
      <c r="J7" s="212"/>
      <c r="K7" s="212"/>
      <c r="L7" s="212"/>
    </row>
    <row r="8" spans="1:12" ht="24" customHeight="1">
      <c r="A8" s="261" t="s">
        <v>229</v>
      </c>
      <c r="B8" s="235">
        <v>1010</v>
      </c>
      <c r="C8" s="98">
        <f>'1.1.Фінансовий результат'!G8+'1.1.Фінансовий результат'!H8</f>
        <v>5600</v>
      </c>
      <c r="D8" s="463">
        <v>7084.5</v>
      </c>
      <c r="E8" s="240">
        <f>D8-C8</f>
        <v>1484.5</v>
      </c>
      <c r="F8" s="98">
        <f t="shared" ref="F8:F71" si="1">D8/C8*100</f>
        <v>126.50892857142857</v>
      </c>
      <c r="G8" s="539"/>
      <c r="H8" s="467"/>
      <c r="I8"/>
      <c r="J8" s="212"/>
      <c r="K8" s="212"/>
      <c r="L8" s="212"/>
    </row>
    <row r="9" spans="1:12" ht="29.25" customHeight="1">
      <c r="A9" s="261" t="s">
        <v>230</v>
      </c>
      <c r="B9" s="235">
        <v>1011</v>
      </c>
      <c r="C9" s="98">
        <f>'1.1.Фінансовий результат'!G9+'1.1.Фінансовий результат'!H9</f>
        <v>0</v>
      </c>
      <c r="D9" s="463"/>
      <c r="E9" s="240"/>
      <c r="F9" s="232"/>
      <c r="G9" s="539"/>
      <c r="H9" s="467"/>
      <c r="I9"/>
      <c r="J9" s="226"/>
      <c r="K9" s="226"/>
      <c r="L9" s="226"/>
    </row>
    <row r="10" spans="1:12" ht="18.75" customHeight="1">
      <c r="A10" s="261" t="s">
        <v>231</v>
      </c>
      <c r="B10" s="235">
        <v>1012</v>
      </c>
      <c r="C10" s="98">
        <f>'1.1.Фінансовий результат'!G10+'1.1.Фінансовий результат'!H10</f>
        <v>2070.3000000000002</v>
      </c>
      <c r="D10" s="463">
        <v>1838.2</v>
      </c>
      <c r="E10" s="240">
        <f t="shared" ref="E10:E72" si="2">D10-C10</f>
        <v>-232.10000000000014</v>
      </c>
      <c r="F10" s="98">
        <f t="shared" si="1"/>
        <v>88.789064386803844</v>
      </c>
      <c r="G10" s="481"/>
      <c r="I10"/>
      <c r="J10" s="212"/>
      <c r="K10" s="212"/>
      <c r="L10" s="212"/>
    </row>
    <row r="11" spans="1:12" ht="16.5" customHeight="1">
      <c r="A11" s="214" t="s">
        <v>227</v>
      </c>
      <c r="B11" s="235">
        <v>1020</v>
      </c>
      <c r="C11" s="212">
        <f>'1.1.Фінансовий результат'!G11+'1.1.Фінансовий результат'!H11</f>
        <v>175</v>
      </c>
      <c r="D11" s="82">
        <v>217.3</v>
      </c>
      <c r="E11" s="82">
        <f t="shared" si="2"/>
        <v>42.300000000000011</v>
      </c>
      <c r="F11" s="212">
        <f t="shared" si="1"/>
        <v>124.17142857142858</v>
      </c>
      <c r="G11" s="225"/>
      <c r="H11" s="468"/>
      <c r="I11"/>
      <c r="J11" s="212"/>
      <c r="K11" s="212"/>
      <c r="L11" s="212"/>
    </row>
    <row r="12" spans="1:12" ht="37.5">
      <c r="A12" s="261" t="s">
        <v>228</v>
      </c>
      <c r="B12" s="235">
        <v>1030</v>
      </c>
      <c r="C12" s="98">
        <f>'1.1.Фінансовий результат'!G12+'1.1.Фінансовий результат'!H12</f>
        <v>0</v>
      </c>
      <c r="D12" s="463"/>
      <c r="E12" s="240"/>
      <c r="F12" s="67"/>
      <c r="G12" s="225"/>
      <c r="H12"/>
      <c r="I12"/>
      <c r="J12" s="113"/>
      <c r="K12" s="113"/>
      <c r="L12" s="113"/>
    </row>
    <row r="13" spans="1:12" ht="56.25">
      <c r="A13" s="225" t="s">
        <v>84</v>
      </c>
      <c r="B13" s="274">
        <v>1040</v>
      </c>
      <c r="C13" s="82">
        <f>C7-C11-C12</f>
        <v>7495.3</v>
      </c>
      <c r="D13" s="82">
        <f t="shared" ref="D13" si="3">D7-D11-D12</f>
        <v>8705.4000000000015</v>
      </c>
      <c r="E13" s="82">
        <f t="shared" si="2"/>
        <v>1210.1000000000013</v>
      </c>
      <c r="F13" s="82">
        <f t="shared" si="1"/>
        <v>116.14478406468054</v>
      </c>
      <c r="G13" s="57"/>
      <c r="H13"/>
      <c r="I13"/>
      <c r="J13" s="82"/>
      <c r="K13" s="82"/>
      <c r="L13" s="82"/>
    </row>
    <row r="14" spans="1:12" ht="56.25">
      <c r="A14" s="225" t="s">
        <v>98</v>
      </c>
      <c r="B14" s="274">
        <v>1050</v>
      </c>
      <c r="C14" s="169">
        <f>C15+C16+C17+C18+C19+C21+C22</f>
        <v>6008.848</v>
      </c>
      <c r="D14" s="169">
        <f t="shared" ref="D14" si="4">D15+D16+D17+D18+D19+D21+D22</f>
        <v>7060.3</v>
      </c>
      <c r="E14" s="169">
        <f t="shared" si="2"/>
        <v>1051.4520000000002</v>
      </c>
      <c r="F14" s="169">
        <f t="shared" si="1"/>
        <v>117.49839569914234</v>
      </c>
      <c r="G14" s="284" t="s">
        <v>539</v>
      </c>
      <c r="H14"/>
      <c r="I14"/>
      <c r="J14" s="169"/>
      <c r="K14" s="169"/>
      <c r="L14" s="169"/>
    </row>
    <row r="15" spans="1:12" ht="35.25" customHeight="1">
      <c r="A15" s="8" t="s">
        <v>199</v>
      </c>
      <c r="B15" s="110">
        <v>1051</v>
      </c>
      <c r="C15" s="98">
        <f>'1.1.Фінансовий результат'!G15+'1.1.Фінансовий результат'!H15</f>
        <v>1000</v>
      </c>
      <c r="D15" s="463">
        <v>1247.7</v>
      </c>
      <c r="E15" s="240">
        <f t="shared" si="2"/>
        <v>247.70000000000005</v>
      </c>
      <c r="F15" s="240">
        <f t="shared" si="1"/>
        <v>124.77000000000001</v>
      </c>
      <c r="G15" s="536" t="s">
        <v>523</v>
      </c>
      <c r="H15"/>
      <c r="I15"/>
      <c r="J15" s="240"/>
      <c r="K15" s="240"/>
      <c r="L15" s="240"/>
    </row>
    <row r="16" spans="1:12">
      <c r="A16" s="8" t="s">
        <v>48</v>
      </c>
      <c r="B16" s="110">
        <v>1052</v>
      </c>
      <c r="C16" s="98">
        <f>'1.1.Фінансовий результат'!G16+'1.1.Фінансовий результат'!H16</f>
        <v>1008</v>
      </c>
      <c r="D16" s="490">
        <f>1126</f>
        <v>1126</v>
      </c>
      <c r="E16" s="240">
        <f t="shared" si="2"/>
        <v>118</v>
      </c>
      <c r="F16" s="240">
        <f t="shared" si="1"/>
        <v>111.70634920634922</v>
      </c>
      <c r="G16" s="537"/>
      <c r="H16"/>
      <c r="I16"/>
      <c r="J16" s="240"/>
      <c r="K16" s="240"/>
      <c r="L16" s="240"/>
    </row>
    <row r="17" spans="1:12">
      <c r="A17" s="8" t="s">
        <v>47</v>
      </c>
      <c r="B17" s="110">
        <v>1053</v>
      </c>
      <c r="C17" s="98">
        <f>'1.1.Фінансовий результат'!G17+'1.1.Фінансовий результат'!H17</f>
        <v>57</v>
      </c>
      <c r="D17" s="463">
        <v>65.099999999999994</v>
      </c>
      <c r="E17" s="240">
        <f t="shared" si="2"/>
        <v>8.0999999999999943</v>
      </c>
      <c r="F17" s="240">
        <f t="shared" si="1"/>
        <v>114.21052631578948</v>
      </c>
      <c r="G17" s="285"/>
      <c r="H17"/>
      <c r="I17"/>
      <c r="J17" s="240"/>
      <c r="K17" s="240"/>
      <c r="L17" s="240"/>
    </row>
    <row r="18" spans="1:12" ht="21" customHeight="1">
      <c r="A18" s="8" t="s">
        <v>23</v>
      </c>
      <c r="B18" s="110">
        <v>1054</v>
      </c>
      <c r="C18" s="98">
        <f>'1.1.Фінансовий результат'!G18+'1.1.Фінансовий результат'!H18</f>
        <v>2768.4</v>
      </c>
      <c r="D18" s="463">
        <v>3300.3</v>
      </c>
      <c r="E18" s="260">
        <f t="shared" si="2"/>
        <v>531.90000000000009</v>
      </c>
      <c r="F18" s="240">
        <f t="shared" si="1"/>
        <v>119.21326397919375</v>
      </c>
      <c r="G18" s="527" t="s">
        <v>527</v>
      </c>
      <c r="H18"/>
      <c r="I18"/>
      <c r="J18" s="240"/>
      <c r="K18" s="240"/>
      <c r="L18" s="240"/>
    </row>
    <row r="19" spans="1:12" s="264" customFormat="1" ht="30" customHeight="1">
      <c r="A19" s="8" t="s">
        <v>24</v>
      </c>
      <c r="B19" s="110">
        <v>1055</v>
      </c>
      <c r="C19" s="98">
        <f>'1.1.Фінансовий результат'!G19+'1.1.Фінансовий результат'!H19</f>
        <v>609.048</v>
      </c>
      <c r="D19" s="463">
        <v>700.1</v>
      </c>
      <c r="E19" s="260">
        <f t="shared" si="2"/>
        <v>91.052000000000021</v>
      </c>
      <c r="F19" s="240">
        <f t="shared" si="1"/>
        <v>114.94988900710617</v>
      </c>
      <c r="G19" s="528"/>
      <c r="H19"/>
      <c r="I19"/>
      <c r="J19" s="240"/>
      <c r="K19" s="240"/>
      <c r="L19" s="240"/>
    </row>
    <row r="20" spans="1:12" s="264" customFormat="1" ht="68.25" customHeight="1">
      <c r="A20" s="443" t="s">
        <v>179</v>
      </c>
      <c r="B20" s="110">
        <v>1056</v>
      </c>
      <c r="C20" s="98">
        <f>'1.1.Фінансовий результат'!G20+'1.1.Фінансовий результат'!H20</f>
        <v>0</v>
      </c>
      <c r="D20" s="462">
        <v>20.100000000000001</v>
      </c>
      <c r="E20" s="94">
        <f t="shared" si="2"/>
        <v>20.100000000000001</v>
      </c>
      <c r="F20" s="411" t="e">
        <f t="shared" si="1"/>
        <v>#DIV/0!</v>
      </c>
      <c r="G20" s="285"/>
      <c r="H20"/>
      <c r="I20"/>
      <c r="J20" s="94"/>
      <c r="K20" s="94"/>
      <c r="L20" s="94"/>
    </row>
    <row r="21" spans="1:12" s="264" customFormat="1" ht="37.5">
      <c r="A21" s="8" t="s">
        <v>46</v>
      </c>
      <c r="B21" s="110">
        <v>1057</v>
      </c>
      <c r="C21" s="98">
        <f>'1.1.Фінансовий результат'!G21+'1.1.Фінансовий результат'!H21</f>
        <v>92.8</v>
      </c>
      <c r="D21" s="463">
        <v>95.2</v>
      </c>
      <c r="E21" s="240">
        <f t="shared" si="2"/>
        <v>2.4000000000000057</v>
      </c>
      <c r="F21" s="240">
        <f t="shared" si="1"/>
        <v>102.58620689655173</v>
      </c>
      <c r="G21" s="287"/>
      <c r="H21"/>
      <c r="I21"/>
      <c r="J21" s="240"/>
      <c r="K21" s="240"/>
      <c r="L21" s="240"/>
    </row>
    <row r="22" spans="1:12" s="264" customFormat="1" ht="21" customHeight="1">
      <c r="A22" s="8" t="s">
        <v>286</v>
      </c>
      <c r="B22" s="110">
        <v>1058</v>
      </c>
      <c r="C22" s="94">
        <f t="shared" ref="C22:D22" si="5">C23+C24+C25+C26+C27+C28</f>
        <v>473.59999999999997</v>
      </c>
      <c r="D22" s="462">
        <f t="shared" si="5"/>
        <v>525.9</v>
      </c>
      <c r="E22" s="94">
        <f t="shared" si="2"/>
        <v>52.300000000000011</v>
      </c>
      <c r="F22" s="94">
        <f t="shared" si="1"/>
        <v>111.04307432432432</v>
      </c>
      <c r="G22" s="285"/>
      <c r="H22"/>
      <c r="I22"/>
      <c r="J22" s="94"/>
      <c r="K22" s="94"/>
      <c r="L22" s="94"/>
    </row>
    <row r="23" spans="1:12" s="267" customFormat="1">
      <c r="A23" s="269" t="s">
        <v>287</v>
      </c>
      <c r="B23" s="266" t="s">
        <v>335</v>
      </c>
      <c r="C23" s="262">
        <f>'1.1.Фінансовий результат'!G23+'1.1.Фінансовий результат'!H23</f>
        <v>78.099999999999994</v>
      </c>
      <c r="D23" s="263">
        <v>53.9</v>
      </c>
      <c r="E23" s="263">
        <f t="shared" si="2"/>
        <v>-24.199999999999996</v>
      </c>
      <c r="F23" s="263">
        <f t="shared" si="1"/>
        <v>69.014084507042256</v>
      </c>
      <c r="G23" s="418" t="s">
        <v>421</v>
      </c>
      <c r="H23"/>
      <c r="I23"/>
      <c r="J23" s="263"/>
      <c r="K23" s="263"/>
      <c r="L23" s="263"/>
    </row>
    <row r="24" spans="1:12" s="267" customFormat="1">
      <c r="A24" s="269" t="s">
        <v>288</v>
      </c>
      <c r="B24" s="266" t="s">
        <v>336</v>
      </c>
      <c r="C24" s="262">
        <f>'1.1.Фінансовий результат'!G24+'1.1.Фінансовий результат'!H24</f>
        <v>2.7</v>
      </c>
      <c r="D24" s="263">
        <v>3.2</v>
      </c>
      <c r="E24" s="263">
        <f t="shared" si="2"/>
        <v>0.5</v>
      </c>
      <c r="F24" s="263">
        <f t="shared" si="1"/>
        <v>118.5185185185185</v>
      </c>
      <c r="G24" s="417"/>
      <c r="H24"/>
      <c r="I24"/>
      <c r="J24" s="263"/>
      <c r="K24" s="263"/>
      <c r="L24" s="263"/>
    </row>
    <row r="25" spans="1:12" s="267" customFormat="1">
      <c r="A25" s="269" t="s">
        <v>289</v>
      </c>
      <c r="B25" s="266" t="s">
        <v>337</v>
      </c>
      <c r="C25" s="262">
        <f>'1.1.Фінансовий результат'!G25+'1.1.Фінансовий результат'!H25</f>
        <v>300</v>
      </c>
      <c r="D25" s="263">
        <v>311.5</v>
      </c>
      <c r="E25" s="263">
        <f t="shared" si="2"/>
        <v>11.5</v>
      </c>
      <c r="F25" s="263">
        <f t="shared" si="1"/>
        <v>103.83333333333333</v>
      </c>
      <c r="G25" s="417"/>
      <c r="H25"/>
      <c r="I25"/>
      <c r="J25" s="263"/>
      <c r="K25" s="263"/>
      <c r="L25" s="263"/>
    </row>
    <row r="26" spans="1:12" s="267" customFormat="1">
      <c r="A26" s="269" t="s">
        <v>290</v>
      </c>
      <c r="B26" s="266" t="s">
        <v>338</v>
      </c>
      <c r="C26" s="262">
        <f>'1.1.Фінансовий результат'!G26+'1.1.Фінансовий результат'!H26</f>
        <v>31.4</v>
      </c>
      <c r="D26" s="263">
        <v>35.4</v>
      </c>
      <c r="E26" s="263">
        <f t="shared" si="2"/>
        <v>4</v>
      </c>
      <c r="F26" s="263">
        <v>0</v>
      </c>
      <c r="G26" s="418" t="s">
        <v>421</v>
      </c>
      <c r="H26"/>
      <c r="I26"/>
      <c r="J26" s="263"/>
      <c r="K26" s="263"/>
      <c r="L26" s="263"/>
    </row>
    <row r="27" spans="1:12" s="267" customFormat="1">
      <c r="A27" s="269" t="s">
        <v>291</v>
      </c>
      <c r="B27" s="266" t="s">
        <v>339</v>
      </c>
      <c r="C27" s="262">
        <f>'1.1.Фінансовий результат'!G27+'1.1.Фінансовий результат'!H27</f>
        <v>41.9</v>
      </c>
      <c r="D27" s="495">
        <f>29+0.3</f>
        <v>29.3</v>
      </c>
      <c r="E27" s="263">
        <f t="shared" si="2"/>
        <v>-12.599999999999998</v>
      </c>
      <c r="F27" s="263">
        <f t="shared" si="1"/>
        <v>69.928400954653952</v>
      </c>
      <c r="G27" s="418" t="s">
        <v>421</v>
      </c>
      <c r="H27"/>
      <c r="I27"/>
      <c r="J27" s="263"/>
      <c r="K27" s="263"/>
      <c r="L27" s="263"/>
    </row>
    <row r="28" spans="1:12" s="267" customFormat="1">
      <c r="A28" s="269" t="s">
        <v>243</v>
      </c>
      <c r="B28" s="266" t="s">
        <v>340</v>
      </c>
      <c r="C28" s="262">
        <f>'1.1.Фінансовий результат'!G28+'1.1.Фінансовий результат'!H28</f>
        <v>19.5</v>
      </c>
      <c r="D28" s="263">
        <v>92.6</v>
      </c>
      <c r="E28" s="263">
        <f t="shared" si="2"/>
        <v>73.099999999999994</v>
      </c>
      <c r="F28" s="263">
        <f t="shared" si="1"/>
        <v>474.87179487179486</v>
      </c>
      <c r="G28" s="483" t="s">
        <v>361</v>
      </c>
      <c r="H28"/>
      <c r="I28"/>
      <c r="J28" s="263"/>
      <c r="K28" s="263"/>
      <c r="L28" s="263"/>
    </row>
    <row r="29" spans="1:12">
      <c r="A29" s="75" t="s">
        <v>303</v>
      </c>
      <c r="B29" s="151">
        <v>1060</v>
      </c>
      <c r="C29" s="167">
        <f t="shared" ref="C29:D29" si="6">C13-C14</f>
        <v>1486.4520000000002</v>
      </c>
      <c r="D29" s="167">
        <f t="shared" si="6"/>
        <v>1645.1000000000013</v>
      </c>
      <c r="E29" s="167">
        <f t="shared" si="2"/>
        <v>158.64800000000105</v>
      </c>
      <c r="F29" s="167">
        <f t="shared" si="1"/>
        <v>110.67293124836868</v>
      </c>
      <c r="G29" s="167"/>
      <c r="H29"/>
      <c r="I29"/>
      <c r="J29" s="167"/>
      <c r="K29" s="167"/>
      <c r="L29" s="167"/>
    </row>
    <row r="30" spans="1:12">
      <c r="A30" s="494"/>
      <c r="B30" s="149">
        <v>1070</v>
      </c>
      <c r="C30" s="150"/>
      <c r="D30" s="150"/>
      <c r="E30" s="150"/>
      <c r="F30" s="150"/>
      <c r="G30" s="282"/>
      <c r="H30"/>
      <c r="I30"/>
      <c r="J30" s="150"/>
      <c r="K30" s="150"/>
      <c r="L30" s="150"/>
    </row>
    <row r="31" spans="1:12" ht="51">
      <c r="A31" s="225" t="s">
        <v>168</v>
      </c>
      <c r="B31" s="149">
        <v>1080</v>
      </c>
      <c r="C31" s="122">
        <f>C32+C36+C38+C39+C40+C41+C43+C53+C51</f>
        <v>968.40800000000002</v>
      </c>
      <c r="D31" s="122">
        <f>D32+D38+D39+D40+D41+D43+D53+D36+D51</f>
        <v>1183.3</v>
      </c>
      <c r="E31" s="122">
        <f t="shared" si="2"/>
        <v>214.89199999999994</v>
      </c>
      <c r="F31" s="122">
        <f t="shared" si="1"/>
        <v>122.19023386836952</v>
      </c>
      <c r="G31" s="286" t="s">
        <v>527</v>
      </c>
      <c r="H31"/>
      <c r="I31"/>
      <c r="J31" s="122"/>
      <c r="K31" s="122"/>
      <c r="L31" s="122"/>
    </row>
    <row r="32" spans="1:12" s="264" customFormat="1" ht="38.25">
      <c r="A32" s="8" t="s">
        <v>83</v>
      </c>
      <c r="B32" s="110">
        <v>1081</v>
      </c>
      <c r="C32" s="144">
        <f>'1.1.Фінансовий результат'!G32+'1.1.Фінансовий результат'!H32</f>
        <v>79.900000000000006</v>
      </c>
      <c r="D32" s="462">
        <f>'5. Інша інформація'!E63</f>
        <v>102.10000000000001</v>
      </c>
      <c r="E32" s="94">
        <f t="shared" si="2"/>
        <v>22.200000000000003</v>
      </c>
      <c r="F32" s="94">
        <f t="shared" si="1"/>
        <v>127.78473091364206</v>
      </c>
      <c r="G32" s="286" t="s">
        <v>545</v>
      </c>
      <c r="H32"/>
      <c r="I32"/>
      <c r="J32" s="94"/>
      <c r="K32" s="94"/>
      <c r="L32" s="94"/>
    </row>
    <row r="33" spans="1:12" s="264" customFormat="1" ht="37.5" customHeight="1">
      <c r="A33" s="326" t="s">
        <v>158</v>
      </c>
      <c r="B33" s="110">
        <v>1082</v>
      </c>
      <c r="C33" s="144">
        <f>'1.1.Фінансовий результат'!G33+'1.1.Фінансовий результат'!H33</f>
        <v>0</v>
      </c>
      <c r="D33" s="462">
        <v>0</v>
      </c>
      <c r="E33" s="94"/>
      <c r="F33" s="263"/>
      <c r="G33" s="283"/>
      <c r="H33"/>
      <c r="I33"/>
      <c r="J33" s="263"/>
      <c r="K33" s="263"/>
      <c r="L33" s="263"/>
    </row>
    <row r="34" spans="1:12" s="264" customFormat="1">
      <c r="A34" s="8" t="s">
        <v>45</v>
      </c>
      <c r="B34" s="110">
        <v>1083</v>
      </c>
      <c r="C34" s="144">
        <f>'1.1.Фінансовий результат'!G34+'1.1.Фінансовий результат'!H34</f>
        <v>0</v>
      </c>
      <c r="D34" s="462">
        <v>0</v>
      </c>
      <c r="E34" s="94"/>
      <c r="F34" s="263"/>
      <c r="G34" s="283"/>
      <c r="H34"/>
      <c r="I34"/>
      <c r="J34" s="263"/>
      <c r="K34" s="263"/>
      <c r="L34" s="263"/>
    </row>
    <row r="35" spans="1:12" s="264" customFormat="1">
      <c r="A35" s="8" t="s">
        <v>7</v>
      </c>
      <c r="B35" s="110">
        <v>1084</v>
      </c>
      <c r="C35" s="144">
        <f>'1.1.Фінансовий результат'!G35+'1.1.Фінансовий результат'!H35</f>
        <v>0</v>
      </c>
      <c r="D35" s="462">
        <v>0</v>
      </c>
      <c r="E35" s="94">
        <f t="shared" si="2"/>
        <v>0</v>
      </c>
      <c r="F35" s="263"/>
      <c r="G35" s="283"/>
      <c r="H35"/>
      <c r="I35"/>
      <c r="J35" s="263"/>
      <c r="K35" s="263"/>
      <c r="L35" s="263"/>
    </row>
    <row r="36" spans="1:12" s="264" customFormat="1">
      <c r="A36" s="8" t="s">
        <v>8</v>
      </c>
      <c r="B36" s="110">
        <v>1085</v>
      </c>
      <c r="C36" s="144">
        <f>'1.1.Фінансовий результат'!G36+'1.1.Фінансовий результат'!H36</f>
        <v>50</v>
      </c>
      <c r="D36" s="462">
        <v>0</v>
      </c>
      <c r="E36" s="94">
        <f t="shared" si="2"/>
        <v>-50</v>
      </c>
      <c r="F36" s="94">
        <f t="shared" si="1"/>
        <v>0</v>
      </c>
      <c r="G36" s="283"/>
      <c r="H36"/>
      <c r="I36"/>
      <c r="J36" s="94"/>
      <c r="K36" s="94"/>
      <c r="L36" s="94"/>
    </row>
    <row r="37" spans="1:12" s="264" customFormat="1">
      <c r="A37" s="8" t="s">
        <v>21</v>
      </c>
      <c r="B37" s="110">
        <v>1086</v>
      </c>
      <c r="C37" s="144">
        <f>'1.1.Фінансовий результат'!G37+'1.1.Фінансовий результат'!H37</f>
        <v>0</v>
      </c>
      <c r="D37" s="462">
        <v>0</v>
      </c>
      <c r="E37" s="94">
        <f t="shared" si="2"/>
        <v>0</v>
      </c>
      <c r="F37" s="94"/>
      <c r="G37" s="58"/>
      <c r="H37"/>
      <c r="I37"/>
      <c r="J37" s="94"/>
      <c r="K37" s="94"/>
      <c r="L37" s="94"/>
    </row>
    <row r="38" spans="1:12" s="264" customFormat="1">
      <c r="A38" s="8" t="s">
        <v>22</v>
      </c>
      <c r="B38" s="110">
        <v>1087</v>
      </c>
      <c r="C38" s="144">
        <f>'1.1.Фінансовий результат'!G38+'1.1.Фінансовий результат'!H38</f>
        <v>7.2</v>
      </c>
      <c r="D38" s="462">
        <v>6.5</v>
      </c>
      <c r="E38" s="94">
        <f t="shared" si="2"/>
        <v>-0.70000000000000018</v>
      </c>
      <c r="F38" s="94">
        <f t="shared" si="1"/>
        <v>90.277777777777786</v>
      </c>
      <c r="G38" s="58"/>
      <c r="H38"/>
      <c r="I38"/>
      <c r="J38" s="94"/>
      <c r="K38" s="94"/>
      <c r="L38" s="94"/>
    </row>
    <row r="39" spans="1:12" s="264" customFormat="1" ht="27.75" customHeight="1">
      <c r="A39" s="8" t="s">
        <v>23</v>
      </c>
      <c r="B39" s="110">
        <v>1088</v>
      </c>
      <c r="C39" s="144">
        <f>'1.1.Фінансовий результат'!G39+'1.1.Фінансовий результат'!H39</f>
        <v>626.4</v>
      </c>
      <c r="D39" s="462">
        <v>836.9</v>
      </c>
      <c r="E39" s="263">
        <f t="shared" si="2"/>
        <v>210.5</v>
      </c>
      <c r="F39" s="94">
        <f t="shared" si="1"/>
        <v>133.60472541507025</v>
      </c>
      <c r="G39" s="527" t="s">
        <v>527</v>
      </c>
      <c r="H39"/>
      <c r="I39"/>
      <c r="J39" s="94"/>
      <c r="K39" s="94"/>
      <c r="L39" s="94"/>
    </row>
    <row r="40" spans="1:12" s="264" customFormat="1" ht="27" customHeight="1">
      <c r="A40" s="8" t="s">
        <v>24</v>
      </c>
      <c r="B40" s="110">
        <v>1089</v>
      </c>
      <c r="C40" s="144">
        <f>'1.1.Фінансовий результат'!G40+'1.1.Фінансовий результат'!H40</f>
        <v>137.80799999999999</v>
      </c>
      <c r="D40" s="462">
        <v>185.7</v>
      </c>
      <c r="E40" s="263">
        <f t="shared" si="2"/>
        <v>47.891999999999996</v>
      </c>
      <c r="F40" s="94">
        <f t="shared" si="1"/>
        <v>134.75269940787183</v>
      </c>
      <c r="G40" s="528"/>
      <c r="H40"/>
      <c r="I40"/>
      <c r="J40" s="94"/>
      <c r="K40" s="94"/>
      <c r="L40" s="94"/>
    </row>
    <row r="41" spans="1:12" s="264" customFormat="1" ht="51.75" customHeight="1">
      <c r="A41" s="67" t="s">
        <v>25</v>
      </c>
      <c r="B41" s="110">
        <v>1090</v>
      </c>
      <c r="C41" s="144">
        <f>'1.1.Фінансовий результат'!G41+'1.1.Фінансовий результат'!H41</f>
        <v>2.2000000000000002</v>
      </c>
      <c r="D41" s="462">
        <v>1.8</v>
      </c>
      <c r="E41" s="94">
        <f t="shared" si="2"/>
        <v>-0.40000000000000013</v>
      </c>
      <c r="F41" s="94">
        <f t="shared" si="1"/>
        <v>81.818181818181813</v>
      </c>
      <c r="G41" s="58"/>
      <c r="H41"/>
      <c r="I41"/>
      <c r="J41" s="94"/>
      <c r="K41" s="94"/>
      <c r="L41" s="94"/>
    </row>
    <row r="42" spans="1:12" s="264" customFormat="1" ht="51" customHeight="1">
      <c r="A42" s="67" t="s">
        <v>26</v>
      </c>
      <c r="B42" s="110">
        <v>1091</v>
      </c>
      <c r="C42" s="144">
        <f>'1.1.Фінансовий результат'!G42+'1.1.Фінансовий результат'!H42</f>
        <v>0</v>
      </c>
      <c r="D42" s="462"/>
      <c r="E42" s="94"/>
      <c r="F42" s="94"/>
      <c r="G42" s="58"/>
      <c r="H42"/>
      <c r="I42"/>
      <c r="J42" s="94"/>
      <c r="K42" s="94"/>
      <c r="L42" s="94"/>
    </row>
    <row r="43" spans="1:12" s="264" customFormat="1" ht="36.75" customHeight="1">
      <c r="A43" s="8" t="s">
        <v>27</v>
      </c>
      <c r="B43" s="110">
        <v>1092</v>
      </c>
      <c r="C43" s="144">
        <f>'1.1.Фінансовий результат'!G43+'1.1.Фінансовий результат'!H43</f>
        <v>8</v>
      </c>
      <c r="D43" s="462"/>
      <c r="E43" s="94">
        <f>D43-C43</f>
        <v>-8</v>
      </c>
      <c r="F43" s="94">
        <f>D43/C43*100</f>
        <v>0</v>
      </c>
      <c r="G43" s="58"/>
      <c r="H43"/>
      <c r="I43"/>
      <c r="J43" s="94"/>
      <c r="K43" s="94"/>
      <c r="L43" s="94"/>
    </row>
    <row r="44" spans="1:12" s="264" customFormat="1" ht="31.5">
      <c r="A44" s="67" t="s">
        <v>28</v>
      </c>
      <c r="B44" s="110">
        <v>1093</v>
      </c>
      <c r="C44" s="144">
        <f>'1.1.Фінансовий результат'!G44+'1.1.Фінансовий результат'!H44</f>
        <v>0</v>
      </c>
      <c r="D44" s="462"/>
      <c r="E44" s="94"/>
      <c r="F44" s="94"/>
      <c r="G44" s="58"/>
      <c r="H44"/>
      <c r="I44"/>
      <c r="J44" s="94"/>
      <c r="K44" s="94"/>
      <c r="L44" s="94"/>
    </row>
    <row r="45" spans="1:12" s="264" customFormat="1" ht="15.75">
      <c r="A45" s="67" t="s">
        <v>29</v>
      </c>
      <c r="B45" s="110">
        <v>1094</v>
      </c>
      <c r="C45" s="144">
        <f>'1.1.Фінансовий результат'!G45+'1.1.Фінансовий результат'!H45</f>
        <v>0</v>
      </c>
      <c r="D45" s="462"/>
      <c r="E45" s="94"/>
      <c r="F45" s="94"/>
      <c r="G45" s="58"/>
      <c r="H45"/>
      <c r="I45"/>
      <c r="J45" s="94"/>
      <c r="K45" s="94"/>
      <c r="L45" s="94"/>
    </row>
    <row r="46" spans="1:12" s="264" customFormat="1" ht="15.75">
      <c r="A46" s="67" t="s">
        <v>49</v>
      </c>
      <c r="B46" s="110">
        <v>1095</v>
      </c>
      <c r="C46" s="144">
        <f>'1.1.Фінансовий результат'!G46+'1.1.Фінансовий результат'!H46</f>
        <v>0</v>
      </c>
      <c r="D46" s="462"/>
      <c r="E46" s="94"/>
      <c r="F46" s="94"/>
      <c r="G46" s="58"/>
      <c r="H46"/>
      <c r="I46"/>
      <c r="J46" s="94"/>
      <c r="K46" s="94"/>
      <c r="L46" s="94"/>
    </row>
    <row r="47" spans="1:12" s="264" customFormat="1" ht="15.75">
      <c r="A47" s="67" t="s">
        <v>30</v>
      </c>
      <c r="B47" s="110">
        <v>1096</v>
      </c>
      <c r="C47" s="144">
        <f>'1.1.Фінансовий результат'!G47+'1.1.Фінансовий результат'!H47</f>
        <v>0</v>
      </c>
      <c r="D47" s="462"/>
      <c r="E47" s="94"/>
      <c r="F47" s="94"/>
      <c r="G47" s="58"/>
      <c r="H47"/>
      <c r="I47"/>
      <c r="J47" s="94"/>
      <c r="K47" s="94"/>
      <c r="L47" s="94"/>
    </row>
    <row r="48" spans="1:12" s="264" customFormat="1" ht="15.75">
      <c r="A48" s="67" t="s">
        <v>31</v>
      </c>
      <c r="B48" s="110">
        <v>1097</v>
      </c>
      <c r="C48" s="144">
        <f>'1.1.Фінансовий результат'!G48+'1.1.Фінансовий результат'!H48</f>
        <v>0</v>
      </c>
      <c r="D48" s="462"/>
      <c r="E48" s="94"/>
      <c r="F48" s="94"/>
      <c r="G48" s="58"/>
      <c r="H48"/>
      <c r="I48"/>
      <c r="J48" s="94"/>
      <c r="K48" s="94"/>
      <c r="L48" s="94"/>
    </row>
    <row r="49" spans="1:12" s="264" customFormat="1" ht="36.75" customHeight="1">
      <c r="A49" s="443" t="s">
        <v>32</v>
      </c>
      <c r="B49" s="110">
        <v>1098</v>
      </c>
      <c r="C49" s="144">
        <f>'1.1.Фінансовий результат'!G49+'1.1.Фінансовий результат'!H49</f>
        <v>0</v>
      </c>
      <c r="D49" s="462"/>
      <c r="E49" s="94"/>
      <c r="F49" s="94"/>
      <c r="G49" s="58"/>
      <c r="H49"/>
      <c r="I49"/>
      <c r="J49" s="94"/>
      <c r="K49" s="94"/>
      <c r="L49" s="94"/>
    </row>
    <row r="50" spans="1:12" s="264" customFormat="1" ht="35.25" customHeight="1">
      <c r="A50" s="67" t="s">
        <v>33</v>
      </c>
      <c r="B50" s="110">
        <v>1099</v>
      </c>
      <c r="C50" s="144">
        <f>'1.1.Фінансовий результат'!G50+'1.1.Фінансовий результат'!H50</f>
        <v>0</v>
      </c>
      <c r="D50" s="462"/>
      <c r="E50" s="94"/>
      <c r="F50" s="94"/>
      <c r="G50" s="58"/>
      <c r="H50"/>
      <c r="I50"/>
      <c r="J50" s="94"/>
      <c r="K50" s="94"/>
      <c r="L50" s="94"/>
    </row>
    <row r="51" spans="1:12" s="264" customFormat="1" ht="64.5" customHeight="1">
      <c r="A51" s="67" t="s">
        <v>57</v>
      </c>
      <c r="B51" s="110">
        <v>1100</v>
      </c>
      <c r="C51" s="144">
        <f>'1.1.Фінансовий результат'!G51+'1.1.Фінансовий результат'!H51</f>
        <v>0</v>
      </c>
      <c r="D51" s="462">
        <v>0</v>
      </c>
      <c r="E51" s="94">
        <f>D51-C51</f>
        <v>0</v>
      </c>
      <c r="F51" s="411" t="e">
        <f>D51/C51*100</f>
        <v>#DIV/0!</v>
      </c>
      <c r="G51" s="534" t="s">
        <v>422</v>
      </c>
      <c r="H51"/>
      <c r="I51"/>
      <c r="J51" s="94"/>
      <c r="K51" s="94"/>
      <c r="L51" s="94"/>
    </row>
    <row r="52" spans="1:12" s="264" customFormat="1" ht="35.25" customHeight="1">
      <c r="A52" s="67" t="s">
        <v>375</v>
      </c>
      <c r="B52" s="110">
        <v>1101</v>
      </c>
      <c r="C52" s="144">
        <f>'1.1.Фінансовий результат'!G52+'1.1.Фінансовий результат'!H52</f>
        <v>0</v>
      </c>
      <c r="D52" s="462">
        <v>0</v>
      </c>
      <c r="E52" s="94">
        <f>D52-C52</f>
        <v>0</v>
      </c>
      <c r="F52" s="411" t="e">
        <f>D52/C52*100</f>
        <v>#DIV/0!</v>
      </c>
      <c r="G52" s="535"/>
      <c r="H52"/>
      <c r="I52"/>
      <c r="J52" s="94"/>
      <c r="K52" s="94"/>
      <c r="L52" s="94"/>
    </row>
    <row r="53" spans="1:12" s="264" customFormat="1" ht="31.5">
      <c r="A53" s="67" t="s">
        <v>281</v>
      </c>
      <c r="B53" s="110">
        <v>1102</v>
      </c>
      <c r="C53" s="94">
        <f>C55+C56+C57+C58+C59+C60+C61+C54</f>
        <v>56.9</v>
      </c>
      <c r="D53" s="462">
        <f>D54+D55+D56+D57+D58+D59+D60+D61</f>
        <v>50.3</v>
      </c>
      <c r="E53" s="94">
        <f t="shared" si="2"/>
        <v>-6.6000000000000014</v>
      </c>
      <c r="F53" s="94">
        <f t="shared" si="1"/>
        <v>88.400702987697713</v>
      </c>
      <c r="G53" s="58"/>
      <c r="H53"/>
      <c r="I53"/>
      <c r="J53" s="94"/>
      <c r="K53" s="94"/>
      <c r="L53" s="94"/>
    </row>
    <row r="54" spans="1:12" s="264" customFormat="1" ht="15.75">
      <c r="A54" s="143" t="s">
        <v>271</v>
      </c>
      <c r="B54" s="110"/>
      <c r="C54" s="265">
        <f>'1.1.Фінансовий результат'!G54+'1.1.Фінансовий результат'!H54</f>
        <v>0</v>
      </c>
      <c r="D54" s="263">
        <v>0</v>
      </c>
      <c r="E54" s="263"/>
      <c r="F54" s="263"/>
      <c r="G54" s="475"/>
      <c r="H54"/>
      <c r="I54"/>
      <c r="J54" s="263"/>
      <c r="K54" s="94"/>
      <c r="L54" s="94"/>
    </row>
    <row r="55" spans="1:12" s="264" customFormat="1" ht="15.75">
      <c r="A55" s="143" t="s">
        <v>47</v>
      </c>
      <c r="B55" s="110"/>
      <c r="C55" s="265">
        <f>'1.1.Фінансовий результат'!G55+'1.1.Фінансовий результат'!H55</f>
        <v>14</v>
      </c>
      <c r="D55" s="263">
        <v>20.7</v>
      </c>
      <c r="E55" s="263">
        <f t="shared" si="2"/>
        <v>6.6999999999999993</v>
      </c>
      <c r="F55" s="263">
        <f t="shared" si="1"/>
        <v>147.85714285714283</v>
      </c>
      <c r="G55" s="475"/>
      <c r="H55"/>
      <c r="I55"/>
      <c r="J55" s="263"/>
      <c r="K55" s="94"/>
      <c r="L55" s="94"/>
    </row>
    <row r="56" spans="1:12" s="264" customFormat="1" ht="15.75">
      <c r="A56" s="143" t="s">
        <v>273</v>
      </c>
      <c r="B56" s="110"/>
      <c r="C56" s="265">
        <f>'1.1.Фінансовий результат'!G56+'1.1.Фінансовий результат'!H56</f>
        <v>0.8</v>
      </c>
      <c r="D56" s="263">
        <v>1.5</v>
      </c>
      <c r="E56" s="263">
        <f t="shared" si="2"/>
        <v>0.7</v>
      </c>
      <c r="F56" s="263">
        <f t="shared" si="1"/>
        <v>187.5</v>
      </c>
      <c r="G56" s="58"/>
      <c r="H56"/>
      <c r="I56"/>
      <c r="J56" s="263"/>
      <c r="K56" s="94"/>
      <c r="L56" s="94"/>
    </row>
    <row r="57" spans="1:12" s="264" customFormat="1" ht="15.75">
      <c r="A57" s="143" t="s">
        <v>272</v>
      </c>
      <c r="B57" s="110"/>
      <c r="C57" s="265">
        <f>'1.1.Фінансовий результат'!G57+'1.1.Фінансовий результат'!H57</f>
        <v>2</v>
      </c>
      <c r="D57" s="263">
        <v>1.8</v>
      </c>
      <c r="E57" s="263">
        <f t="shared" si="2"/>
        <v>-0.19999999999999996</v>
      </c>
      <c r="F57" s="263">
        <f t="shared" si="1"/>
        <v>90</v>
      </c>
      <c r="G57" s="416" t="s">
        <v>423</v>
      </c>
      <c r="H57"/>
      <c r="I57"/>
      <c r="J57" s="263"/>
      <c r="K57" s="94"/>
      <c r="L57" s="94"/>
    </row>
    <row r="58" spans="1:12" s="264" customFormat="1" ht="15.75">
      <c r="A58" s="143" t="s">
        <v>274</v>
      </c>
      <c r="B58" s="110"/>
      <c r="C58" s="265">
        <f>'1.1.Фінансовий результат'!G58+'1.1.Фінансовий результат'!H58</f>
        <v>0</v>
      </c>
      <c r="D58" s="263">
        <v>0</v>
      </c>
      <c r="E58" s="263">
        <f t="shared" si="2"/>
        <v>0</v>
      </c>
      <c r="F58" s="410" t="e">
        <f t="shared" si="1"/>
        <v>#DIV/0!</v>
      </c>
      <c r="G58" s="417"/>
      <c r="H58"/>
      <c r="I58"/>
      <c r="J58" s="263"/>
      <c r="K58" s="94"/>
      <c r="L58" s="94"/>
    </row>
    <row r="59" spans="1:12" s="264" customFormat="1" ht="15.75">
      <c r="A59" s="143" t="s">
        <v>276</v>
      </c>
      <c r="B59" s="110"/>
      <c r="C59" s="265">
        <f>'1.1.Фінансовий результат'!G59+'1.1.Фінансовий результат'!H59</f>
        <v>9.1999999999999993</v>
      </c>
      <c r="D59" s="263">
        <v>7.9</v>
      </c>
      <c r="E59" s="263">
        <f t="shared" si="2"/>
        <v>-1.2999999999999989</v>
      </c>
      <c r="F59" s="263">
        <f t="shared" si="1"/>
        <v>85.869565217391326</v>
      </c>
      <c r="G59" s="416" t="s">
        <v>424</v>
      </c>
      <c r="H59"/>
      <c r="I59"/>
      <c r="J59" s="263"/>
      <c r="K59" s="94"/>
      <c r="L59" s="94"/>
    </row>
    <row r="60" spans="1:12" s="267" customFormat="1" ht="19.5" customHeight="1">
      <c r="A60" s="143" t="s">
        <v>148</v>
      </c>
      <c r="B60" s="279"/>
      <c r="C60" s="265">
        <f>'1.1.Фінансовий результат'!G60+'1.1.Фінансовий результат'!H60</f>
        <v>10.9</v>
      </c>
      <c r="D60" s="263">
        <f>5.6</f>
        <v>5.6</v>
      </c>
      <c r="E60" s="263">
        <f t="shared" si="2"/>
        <v>-5.3000000000000007</v>
      </c>
      <c r="F60" s="263">
        <f t="shared" si="1"/>
        <v>51.376146788990816</v>
      </c>
      <c r="G60" s="416" t="s">
        <v>425</v>
      </c>
      <c r="J60" s="263"/>
      <c r="K60" s="263"/>
      <c r="L60" s="263"/>
    </row>
    <row r="61" spans="1:12" s="267" customFormat="1" ht="33.75" customHeight="1">
      <c r="A61" s="143" t="s">
        <v>373</v>
      </c>
      <c r="B61" s="279"/>
      <c r="C61" s="265">
        <f>'1.1.Фінансовий результат'!G61+'1.1.Фінансовий результат'!H61</f>
        <v>20</v>
      </c>
      <c r="D61" s="495">
        <f>12.5+0.3</f>
        <v>12.8</v>
      </c>
      <c r="E61" s="263">
        <f t="shared" si="2"/>
        <v>-7.1999999999999993</v>
      </c>
      <c r="F61" s="263">
        <f t="shared" si="1"/>
        <v>64</v>
      </c>
      <c r="G61" s="288"/>
      <c r="J61" s="263"/>
      <c r="K61" s="263"/>
      <c r="L61" s="263"/>
    </row>
    <row r="62" spans="1:12" ht="15.75">
      <c r="A62" s="113" t="s">
        <v>169</v>
      </c>
      <c r="B62" s="149">
        <v>1110</v>
      </c>
      <c r="C62" s="122">
        <f t="shared" ref="C62:D62" si="7">SUM(C63:C69)</f>
        <v>437.40800000000002</v>
      </c>
      <c r="D62" s="122">
        <f t="shared" si="7"/>
        <v>404.09999999999997</v>
      </c>
      <c r="E62" s="263">
        <f t="shared" ref="E62" si="8">D62-C62</f>
        <v>-33.30800000000005</v>
      </c>
      <c r="F62" s="263">
        <f t="shared" ref="F62" si="9">D62/C62*100</f>
        <v>92.38514156119686</v>
      </c>
      <c r="G62" s="285"/>
      <c r="H62"/>
      <c r="I62"/>
      <c r="J62" s="122"/>
      <c r="K62" s="122"/>
      <c r="L62" s="122"/>
    </row>
    <row r="63" spans="1:12" s="264" customFormat="1" ht="15.75">
      <c r="A63" s="67" t="s">
        <v>139</v>
      </c>
      <c r="B63" s="110">
        <v>1111</v>
      </c>
      <c r="C63" s="94"/>
      <c r="D63" s="462"/>
      <c r="E63" s="94"/>
      <c r="F63" s="94"/>
      <c r="G63" s="285"/>
      <c r="H63"/>
      <c r="I63"/>
      <c r="J63" s="94"/>
      <c r="K63" s="94"/>
      <c r="L63" s="94"/>
    </row>
    <row r="64" spans="1:12" s="264" customFormat="1" ht="15.75" customHeight="1">
      <c r="A64" s="67" t="s">
        <v>140</v>
      </c>
      <c r="B64" s="110">
        <v>1112</v>
      </c>
      <c r="C64" s="94"/>
      <c r="D64" s="462"/>
      <c r="E64" s="94"/>
      <c r="F64" s="94"/>
      <c r="H64"/>
      <c r="I64"/>
      <c r="J64" s="94"/>
      <c r="K64" s="94"/>
      <c r="L64" s="94"/>
    </row>
    <row r="65" spans="1:12" s="264" customFormat="1" ht="27.75" customHeight="1">
      <c r="A65" s="67" t="s">
        <v>23</v>
      </c>
      <c r="B65" s="110">
        <v>1113</v>
      </c>
      <c r="C65" s="94">
        <f>'1.1.Фінансовий результат'!G65+'1.1.Фінансовий результат'!H65</f>
        <v>221.4</v>
      </c>
      <c r="D65" s="462">
        <v>252.1</v>
      </c>
      <c r="E65" s="263">
        <f t="shared" si="2"/>
        <v>30.699999999999989</v>
      </c>
      <c r="F65" s="94">
        <f t="shared" si="1"/>
        <v>113.86630532971995</v>
      </c>
      <c r="G65" s="527" t="s">
        <v>527</v>
      </c>
      <c r="H65"/>
      <c r="I65"/>
      <c r="J65" s="94"/>
      <c r="K65" s="94"/>
      <c r="L65" s="94"/>
    </row>
    <row r="66" spans="1:12" s="264" customFormat="1" ht="24.75" customHeight="1">
      <c r="A66" s="67" t="s">
        <v>420</v>
      </c>
      <c r="B66" s="112" t="s">
        <v>350</v>
      </c>
      <c r="C66" s="452">
        <f>'1.1.Фінансовий результат'!G66+'1.1.Фінансовий результат'!H66</f>
        <v>48.707999999999998</v>
      </c>
      <c r="D66" s="462">
        <v>46.3</v>
      </c>
      <c r="E66" s="263">
        <f t="shared" si="2"/>
        <v>-2.4080000000000013</v>
      </c>
      <c r="F66" s="94">
        <f t="shared" si="1"/>
        <v>95.056253592838956</v>
      </c>
      <c r="G66" s="528"/>
      <c r="H66"/>
      <c r="I66"/>
      <c r="J66" s="94"/>
      <c r="K66" s="94"/>
      <c r="L66" s="94"/>
    </row>
    <row r="67" spans="1:12" s="264" customFormat="1" ht="31.5">
      <c r="A67" s="67" t="s">
        <v>46</v>
      </c>
      <c r="B67" s="110">
        <v>1114</v>
      </c>
      <c r="C67" s="452">
        <f>'1.1.Фінансовий результат'!G67+'1.1.Фінансовий результат'!H67</f>
        <v>50</v>
      </c>
      <c r="D67" s="462">
        <v>1</v>
      </c>
      <c r="E67" s="263">
        <f t="shared" si="2"/>
        <v>-49</v>
      </c>
      <c r="F67" s="94"/>
      <c r="G67" s="285"/>
      <c r="H67"/>
      <c r="I67"/>
      <c r="J67" s="94"/>
      <c r="K67" s="94"/>
      <c r="L67" s="94"/>
    </row>
    <row r="68" spans="1:12" s="264" customFormat="1" ht="15.75">
      <c r="A68" s="67" t="s">
        <v>60</v>
      </c>
      <c r="B68" s="110">
        <v>1115</v>
      </c>
      <c r="C68" s="94"/>
      <c r="D68" s="462"/>
      <c r="E68" s="94"/>
      <c r="F68" s="94"/>
      <c r="G68" s="285"/>
      <c r="H68"/>
      <c r="I68"/>
      <c r="J68" s="94"/>
      <c r="K68" s="94"/>
      <c r="L68" s="94"/>
    </row>
    <row r="69" spans="1:12" s="264" customFormat="1" ht="15.75">
      <c r="A69" s="67" t="s">
        <v>280</v>
      </c>
      <c r="B69" s="110">
        <v>1116</v>
      </c>
      <c r="C69" s="94">
        <f t="shared" ref="C69:D69" si="10">C70+C71+C72+C73+C74+C75+C76+C77+C78</f>
        <v>117.3</v>
      </c>
      <c r="D69" s="462">
        <f t="shared" si="10"/>
        <v>104.7</v>
      </c>
      <c r="E69" s="94">
        <f t="shared" si="2"/>
        <v>-12.599999999999994</v>
      </c>
      <c r="F69" s="94">
        <f t="shared" si="1"/>
        <v>89.258312020460366</v>
      </c>
      <c r="G69" s="285"/>
      <c r="H69"/>
      <c r="I69"/>
      <c r="J69" s="94"/>
      <c r="K69" s="94"/>
      <c r="L69" s="94"/>
    </row>
    <row r="70" spans="1:12" s="267" customFormat="1" ht="15.75">
      <c r="A70" s="143" t="s">
        <v>271</v>
      </c>
      <c r="B70" s="266" t="s">
        <v>341</v>
      </c>
      <c r="C70" s="263">
        <f>'1.1.Фінансовий результат'!G70+'1.1.Фінансовий результат'!H70</f>
        <v>37.400000000000006</v>
      </c>
      <c r="D70" s="263">
        <v>22.3</v>
      </c>
      <c r="E70" s="263">
        <f t="shared" si="2"/>
        <v>-15.100000000000005</v>
      </c>
      <c r="F70" s="263">
        <f t="shared" si="1"/>
        <v>59.625668449197853</v>
      </c>
      <c r="G70" s="442" t="s">
        <v>424</v>
      </c>
      <c r="H70"/>
      <c r="I70"/>
      <c r="J70" s="263"/>
      <c r="K70" s="263"/>
      <c r="L70" s="263"/>
    </row>
    <row r="71" spans="1:12" s="267" customFormat="1" ht="15.75">
      <c r="A71" s="143" t="s">
        <v>47</v>
      </c>
      <c r="B71" s="266" t="s">
        <v>342</v>
      </c>
      <c r="C71" s="263">
        <f>'1.1.Фінансовий результат'!G71+'1.1.Фінансовий результат'!H71</f>
        <v>5.0999999999999996</v>
      </c>
      <c r="D71" s="263">
        <f>6.8</f>
        <v>6.8</v>
      </c>
      <c r="E71" s="263">
        <f t="shared" si="2"/>
        <v>1.7000000000000002</v>
      </c>
      <c r="F71" s="263">
        <f t="shared" si="1"/>
        <v>133.33333333333334</v>
      </c>
      <c r="G71" s="442" t="s">
        <v>424</v>
      </c>
      <c r="H71"/>
      <c r="I71"/>
      <c r="J71" s="263"/>
      <c r="K71" s="263"/>
      <c r="L71" s="263"/>
    </row>
    <row r="72" spans="1:12" s="267" customFormat="1" ht="15.75">
      <c r="A72" s="143" t="s">
        <v>273</v>
      </c>
      <c r="B72" s="266" t="s">
        <v>343</v>
      </c>
      <c r="C72" s="263">
        <f>'1.1.Фінансовий результат'!G72+'1.1.Фінансовий результат'!H72</f>
        <v>0.2</v>
      </c>
      <c r="D72" s="263">
        <v>0.2</v>
      </c>
      <c r="E72" s="263">
        <f t="shared" si="2"/>
        <v>0</v>
      </c>
      <c r="F72" s="263">
        <f t="shared" ref="F72:F93" si="11">D72/C72*100</f>
        <v>100</v>
      </c>
      <c r="G72" s="285"/>
      <c r="H72"/>
      <c r="I72"/>
      <c r="J72" s="263"/>
      <c r="K72" s="263"/>
      <c r="L72" s="263"/>
    </row>
    <row r="73" spans="1:12" s="267" customFormat="1" ht="15.75">
      <c r="A73" s="143" t="s">
        <v>277</v>
      </c>
      <c r="B73" s="266" t="s">
        <v>344</v>
      </c>
      <c r="C73" s="263">
        <f>'1.1.Фінансовий результат'!G73+'1.1.Фінансовий результат'!H73</f>
        <v>0.8</v>
      </c>
      <c r="D73" s="263">
        <f>0.5</f>
        <v>0.5</v>
      </c>
      <c r="E73" s="263">
        <f t="shared" ref="E73:E94" si="12">D73-C73</f>
        <v>-0.30000000000000004</v>
      </c>
      <c r="F73" s="263">
        <f t="shared" si="11"/>
        <v>62.5</v>
      </c>
      <c r="G73" s="416" t="s">
        <v>424</v>
      </c>
      <c r="H73"/>
      <c r="I73"/>
      <c r="J73" s="263"/>
      <c r="K73" s="263"/>
      <c r="L73" s="263"/>
    </row>
    <row r="74" spans="1:12" s="267" customFormat="1" ht="19.5" customHeight="1">
      <c r="A74" s="143" t="s">
        <v>279</v>
      </c>
      <c r="B74" s="266" t="s">
        <v>345</v>
      </c>
      <c r="C74" s="263">
        <f>'1.1.Фінансовий результат'!G74+'1.1.Фінансовий результат'!H74</f>
        <v>59.9</v>
      </c>
      <c r="D74" s="263">
        <v>63.3</v>
      </c>
      <c r="E74" s="263">
        <f t="shared" si="12"/>
        <v>3.3999999999999986</v>
      </c>
      <c r="F74" s="263">
        <f t="shared" si="11"/>
        <v>105.67612687813022</v>
      </c>
      <c r="G74" s="536" t="s">
        <v>540</v>
      </c>
      <c r="H74"/>
      <c r="I74"/>
      <c r="J74" s="263"/>
      <c r="K74" s="263"/>
      <c r="L74" s="263"/>
    </row>
    <row r="75" spans="1:12" s="267" customFormat="1" ht="15.75">
      <c r="A75" s="143" t="s">
        <v>272</v>
      </c>
      <c r="B75" s="266" t="s">
        <v>346</v>
      </c>
      <c r="C75" s="263">
        <f>'1.1.Фінансовий результат'!G75+'1.1.Фінансовий результат'!H75</f>
        <v>2.8</v>
      </c>
      <c r="D75" s="263">
        <v>3.2</v>
      </c>
      <c r="E75" s="263">
        <f t="shared" si="12"/>
        <v>0.40000000000000036</v>
      </c>
      <c r="F75" s="263">
        <f t="shared" si="11"/>
        <v>114.28571428571431</v>
      </c>
      <c r="G75" s="537"/>
      <c r="H75"/>
      <c r="I75"/>
      <c r="J75" s="263"/>
      <c r="K75" s="263"/>
      <c r="L75" s="263"/>
    </row>
    <row r="76" spans="1:12" s="267" customFormat="1" ht="15.75">
      <c r="A76" s="143" t="s">
        <v>292</v>
      </c>
      <c r="B76" s="266" t="s">
        <v>347</v>
      </c>
      <c r="C76" s="263">
        <f>'1.1.Фінансовий результат'!G76+'1.1.Фінансовий результат'!H76</f>
        <v>2</v>
      </c>
      <c r="D76" s="263">
        <f>1.9</f>
        <v>1.9</v>
      </c>
      <c r="E76" s="263">
        <f t="shared" si="12"/>
        <v>-0.10000000000000009</v>
      </c>
      <c r="F76" s="263">
        <f t="shared" si="11"/>
        <v>95</v>
      </c>
      <c r="G76" s="58"/>
      <c r="H76"/>
      <c r="I76"/>
      <c r="J76" s="263"/>
      <c r="K76" s="263"/>
      <c r="L76" s="263"/>
    </row>
    <row r="77" spans="1:12" s="267" customFormat="1" ht="15.75">
      <c r="A77" s="143" t="s">
        <v>293</v>
      </c>
      <c r="B77" s="266" t="s">
        <v>348</v>
      </c>
      <c r="C77" s="263">
        <f>'1.1.Фінансовий результат'!G77+'1.1.Фінансовий результат'!H77</f>
        <v>5.0999999999999996</v>
      </c>
      <c r="D77" s="263">
        <v>4.9000000000000004</v>
      </c>
      <c r="E77" s="263">
        <f t="shared" si="12"/>
        <v>-0.19999999999999929</v>
      </c>
      <c r="F77" s="263">
        <v>0</v>
      </c>
      <c r="G77" s="58"/>
      <c r="H77"/>
      <c r="I77"/>
      <c r="J77" s="263"/>
      <c r="K77" s="263"/>
      <c r="L77" s="263"/>
    </row>
    <row r="78" spans="1:12" s="267" customFormat="1">
      <c r="A78" s="143" t="s">
        <v>151</v>
      </c>
      <c r="B78" s="266" t="s">
        <v>349</v>
      </c>
      <c r="C78" s="263">
        <f>'1.1.Фінансовий результат'!G78+'1.1.Фінансовий результат'!H78</f>
        <v>4</v>
      </c>
      <c r="D78" s="263">
        <v>1.6</v>
      </c>
      <c r="E78" s="263">
        <f t="shared" si="12"/>
        <v>-2.4</v>
      </c>
      <c r="F78" s="263">
        <f t="shared" si="11"/>
        <v>40</v>
      </c>
      <c r="G78" s="57"/>
      <c r="H78"/>
      <c r="I78"/>
      <c r="J78" s="263"/>
      <c r="K78" s="263"/>
      <c r="L78" s="263"/>
    </row>
    <row r="79" spans="1:12" ht="31.5" customHeight="1">
      <c r="A79" s="113" t="s">
        <v>278</v>
      </c>
      <c r="B79" s="149">
        <v>1120</v>
      </c>
      <c r="C79" s="122">
        <f t="shared" ref="C79:D79" si="13">C84</f>
        <v>60.6</v>
      </c>
      <c r="D79" s="122">
        <f t="shared" si="13"/>
        <v>32.700000000000003</v>
      </c>
      <c r="E79" s="263">
        <f t="shared" ref="E79" si="14">D79-C79</f>
        <v>-27.9</v>
      </c>
      <c r="F79" s="263">
        <f t="shared" ref="F79" si="15">D79/C79*100</f>
        <v>53.960396039603964</v>
      </c>
      <c r="G79" s="58"/>
      <c r="H79"/>
      <c r="I79"/>
      <c r="J79" s="122"/>
      <c r="K79" s="122"/>
      <c r="L79" s="122"/>
    </row>
    <row r="80" spans="1:12" s="264" customFormat="1" ht="15.75">
      <c r="A80" s="67" t="s">
        <v>53</v>
      </c>
      <c r="B80" s="110">
        <v>1121</v>
      </c>
      <c r="C80" s="94"/>
      <c r="D80" s="462"/>
      <c r="E80" s="94"/>
      <c r="F80" s="94"/>
      <c r="G80" s="58"/>
      <c r="H80"/>
      <c r="I80"/>
      <c r="J80" s="94"/>
      <c r="K80" s="94"/>
      <c r="L80" s="94"/>
    </row>
    <row r="81" spans="1:12" s="264" customFormat="1" ht="15.75">
      <c r="A81" s="67" t="s">
        <v>34</v>
      </c>
      <c r="B81" s="110">
        <v>1122</v>
      </c>
      <c r="C81" s="94"/>
      <c r="D81" s="462"/>
      <c r="E81" s="94"/>
      <c r="F81" s="94"/>
      <c r="G81" s="58"/>
      <c r="H81"/>
      <c r="I81"/>
      <c r="J81" s="94"/>
      <c r="K81" s="94"/>
      <c r="L81" s="94"/>
    </row>
    <row r="82" spans="1:12" s="264" customFormat="1" ht="31.5">
      <c r="A82" s="67" t="s">
        <v>44</v>
      </c>
      <c r="B82" s="110">
        <v>1123</v>
      </c>
      <c r="C82" s="94"/>
      <c r="D82" s="462"/>
      <c r="E82" s="94"/>
      <c r="F82" s="94"/>
      <c r="G82" s="58"/>
      <c r="H82"/>
      <c r="I82"/>
      <c r="J82" s="94"/>
      <c r="K82" s="94"/>
      <c r="L82" s="94"/>
    </row>
    <row r="83" spans="1:12" s="264" customFormat="1" ht="17.25" customHeight="1">
      <c r="A83" s="67" t="s">
        <v>162</v>
      </c>
      <c r="B83" s="110">
        <v>1124</v>
      </c>
      <c r="C83" s="94"/>
      <c r="D83" s="462"/>
      <c r="E83" s="94"/>
      <c r="F83" s="94"/>
      <c r="G83" s="58"/>
      <c r="H83"/>
      <c r="I83"/>
      <c r="J83" s="94"/>
      <c r="K83" s="94"/>
      <c r="L83" s="94"/>
    </row>
    <row r="84" spans="1:12" s="264" customFormat="1" ht="28.5" customHeight="1">
      <c r="A84" s="67" t="s">
        <v>282</v>
      </c>
      <c r="B84" s="110">
        <v>1125</v>
      </c>
      <c r="C84" s="94">
        <f t="shared" ref="C84:D84" si="16">C85+C86+C87</f>
        <v>60.6</v>
      </c>
      <c r="D84" s="462">
        <f t="shared" si="16"/>
        <v>32.700000000000003</v>
      </c>
      <c r="E84" s="94">
        <f t="shared" si="12"/>
        <v>-27.9</v>
      </c>
      <c r="F84" s="94">
        <f t="shared" si="11"/>
        <v>53.960396039603964</v>
      </c>
      <c r="G84" s="58"/>
      <c r="H84"/>
      <c r="I84"/>
      <c r="J84" s="94"/>
      <c r="K84" s="94"/>
      <c r="L84" s="94"/>
    </row>
    <row r="85" spans="1:12" s="267" customFormat="1" ht="17.25" customHeight="1">
      <c r="A85" s="143" t="s">
        <v>283</v>
      </c>
      <c r="B85" s="268"/>
      <c r="C85" s="263">
        <f>'1.1.Фінансовий результат'!G85+'1.1.Фінансовий результат'!H85</f>
        <v>0.2</v>
      </c>
      <c r="D85" s="263">
        <v>0</v>
      </c>
      <c r="E85" s="263">
        <f t="shared" si="12"/>
        <v>-0.2</v>
      </c>
      <c r="F85" s="263">
        <f t="shared" si="11"/>
        <v>0</v>
      </c>
      <c r="G85" s="58"/>
      <c r="H85"/>
      <c r="I85"/>
      <c r="J85" s="263"/>
      <c r="K85" s="263"/>
      <c r="L85" s="263"/>
    </row>
    <row r="86" spans="1:12" s="267" customFormat="1" ht="19.5" customHeight="1">
      <c r="A86" s="143" t="s">
        <v>284</v>
      </c>
      <c r="B86" s="268"/>
      <c r="C86" s="263">
        <f>'1.1.Фінансовий результат'!G86+'1.1.Фінансовий результат'!H86</f>
        <v>60</v>
      </c>
      <c r="D86" s="263">
        <f>32.1</f>
        <v>32.1</v>
      </c>
      <c r="E86" s="263">
        <f t="shared" si="12"/>
        <v>-27.9</v>
      </c>
      <c r="F86" s="263">
        <f t="shared" si="11"/>
        <v>53.5</v>
      </c>
      <c r="G86" s="263"/>
      <c r="H86"/>
      <c r="I86"/>
      <c r="J86" s="263"/>
      <c r="K86" s="263"/>
      <c r="L86" s="263"/>
    </row>
    <row r="87" spans="1:12" s="267" customFormat="1" ht="20.25" customHeight="1">
      <c r="A87" s="143" t="s">
        <v>285</v>
      </c>
      <c r="B87" s="268"/>
      <c r="C87" s="263">
        <f>'1.1.Фінансовий результат'!G87+'1.1.Фінансовий результат'!H87</f>
        <v>0.4</v>
      </c>
      <c r="D87" s="263">
        <v>0.6</v>
      </c>
      <c r="E87" s="263">
        <f t="shared" ref="E87" si="17">D87-C87</f>
        <v>0.19999999999999996</v>
      </c>
      <c r="F87" s="263">
        <f t="shared" ref="F87" si="18">D87/C87*100</f>
        <v>149.99999999999997</v>
      </c>
      <c r="G87" s="263"/>
      <c r="H87"/>
      <c r="I87"/>
      <c r="J87" s="263"/>
      <c r="K87" s="263"/>
      <c r="L87" s="263"/>
    </row>
    <row r="88" spans="1:12" ht="56.25">
      <c r="A88" s="75" t="s">
        <v>244</v>
      </c>
      <c r="B88" s="152">
        <v>1130</v>
      </c>
      <c r="C88" s="167">
        <f t="shared" ref="C88" si="19">C29+C30-C31-C62-C79</f>
        <v>20.036000000000193</v>
      </c>
      <c r="D88" s="496">
        <f>D29+D30-D31-D62-D79</f>
        <v>25.00000000000135</v>
      </c>
      <c r="E88" s="167">
        <f t="shared" si="12"/>
        <v>4.9640000000011568</v>
      </c>
      <c r="F88" s="167">
        <f t="shared" si="11"/>
        <v>124.77540427231537</v>
      </c>
      <c r="G88" s="466" t="s">
        <v>541</v>
      </c>
      <c r="H88"/>
      <c r="I88"/>
      <c r="J88" s="167"/>
      <c r="K88" s="167"/>
      <c r="L88" s="167"/>
    </row>
    <row r="89" spans="1:12" ht="21" customHeight="1">
      <c r="A89" s="113" t="s">
        <v>85</v>
      </c>
      <c r="B89" s="149">
        <v>1140</v>
      </c>
      <c r="C89" s="150"/>
      <c r="D89" s="122"/>
      <c r="E89" s="122"/>
      <c r="F89" s="122"/>
      <c r="G89" s="122"/>
      <c r="H89"/>
      <c r="I89"/>
      <c r="J89" s="122"/>
      <c r="K89" s="122"/>
      <c r="L89" s="122"/>
    </row>
    <row r="90" spans="1:12" ht="23.25" customHeight="1">
      <c r="A90" s="113" t="s">
        <v>86</v>
      </c>
      <c r="B90" s="149">
        <v>1150</v>
      </c>
      <c r="C90" s="122"/>
      <c r="D90" s="122"/>
      <c r="E90" s="122"/>
      <c r="F90" s="122"/>
      <c r="G90" s="122"/>
      <c r="H90"/>
      <c r="I90"/>
      <c r="J90" s="122"/>
      <c r="K90" s="122"/>
      <c r="L90" s="122"/>
    </row>
    <row r="91" spans="1:12" ht="33" customHeight="1">
      <c r="A91" s="494" t="s">
        <v>163</v>
      </c>
      <c r="B91" s="149">
        <v>1160</v>
      </c>
      <c r="C91" s="150"/>
      <c r="D91" s="122"/>
      <c r="E91" s="405">
        <f t="shared" si="12"/>
        <v>0</v>
      </c>
      <c r="F91" s="405" t="e">
        <f t="shared" si="11"/>
        <v>#DIV/0!</v>
      </c>
      <c r="G91" s="122"/>
      <c r="H91"/>
      <c r="I91"/>
      <c r="J91" s="122"/>
      <c r="K91" s="122"/>
      <c r="L91" s="122"/>
    </row>
    <row r="92" spans="1:12" s="264" customFormat="1" ht="27" customHeight="1">
      <c r="A92" s="67" t="s">
        <v>164</v>
      </c>
      <c r="B92" s="110">
        <v>1170</v>
      </c>
      <c r="C92" s="94"/>
      <c r="D92" s="462"/>
      <c r="E92" s="406">
        <f t="shared" si="12"/>
        <v>0</v>
      </c>
      <c r="F92" s="406" t="e">
        <f t="shared" si="11"/>
        <v>#DIV/0!</v>
      </c>
      <c r="G92" s="94"/>
      <c r="H92"/>
      <c r="I92"/>
      <c r="J92" s="94"/>
      <c r="K92" s="94"/>
      <c r="L92" s="94"/>
    </row>
    <row r="93" spans="1:12" ht="39.75" customHeight="1">
      <c r="A93" s="493" t="s">
        <v>245</v>
      </c>
      <c r="B93" s="151">
        <v>1200</v>
      </c>
      <c r="C93" s="216">
        <f t="shared" ref="C93:D93" si="20">C88+C89+C91-C90-C92</f>
        <v>20.036000000000193</v>
      </c>
      <c r="D93" s="216">
        <f t="shared" si="20"/>
        <v>25.00000000000135</v>
      </c>
      <c r="E93" s="216">
        <f t="shared" si="12"/>
        <v>4.9640000000011568</v>
      </c>
      <c r="F93" s="216">
        <f t="shared" si="11"/>
        <v>124.77540427231537</v>
      </c>
      <c r="G93" s="216"/>
      <c r="H93"/>
      <c r="I93"/>
      <c r="J93" s="216"/>
      <c r="K93" s="216"/>
      <c r="L93" s="216"/>
    </row>
    <row r="94" spans="1:12" s="264" customFormat="1" ht="24.75" customHeight="1">
      <c r="A94" s="8" t="s">
        <v>106</v>
      </c>
      <c r="B94" s="110">
        <v>1210</v>
      </c>
      <c r="C94" s="240">
        <f t="shared" ref="C94" si="21">C93*0.18</f>
        <v>3.6064800000000345</v>
      </c>
      <c r="D94" s="463">
        <v>5</v>
      </c>
      <c r="E94" s="240">
        <f t="shared" si="12"/>
        <v>1.3935199999999655</v>
      </c>
      <c r="F94" s="240">
        <f>D94/C94*100</f>
        <v>138.63933808034295</v>
      </c>
      <c r="G94" s="240"/>
      <c r="H94"/>
      <c r="I94"/>
      <c r="J94" s="240"/>
      <c r="K94" s="240"/>
      <c r="L94" s="240"/>
    </row>
    <row r="95" spans="1:12" s="264" customFormat="1" ht="35.25" customHeight="1">
      <c r="A95" s="443" t="s">
        <v>107</v>
      </c>
      <c r="B95" s="110">
        <v>1220</v>
      </c>
      <c r="C95" s="94"/>
      <c r="D95" s="462"/>
      <c r="E95" s="94"/>
      <c r="F95" s="94"/>
      <c r="G95" s="94"/>
      <c r="H95"/>
      <c r="I95"/>
      <c r="J95" s="94"/>
      <c r="K95" s="94"/>
      <c r="L95" s="94"/>
    </row>
    <row r="96" spans="1:12" ht="37.5">
      <c r="A96" s="75" t="s">
        <v>247</v>
      </c>
      <c r="B96" s="151">
        <v>1230</v>
      </c>
      <c r="C96" s="216">
        <f t="shared" ref="C96:D96" si="22">C93-C94</f>
        <v>16.42952000000016</v>
      </c>
      <c r="D96" s="216">
        <f t="shared" si="22"/>
        <v>20.00000000000135</v>
      </c>
      <c r="E96" s="216">
        <f t="shared" ref="E96" si="23">D96-C96</f>
        <v>3.57048000000119</v>
      </c>
      <c r="F96" s="216">
        <f t="shared" ref="F96" si="24">D96/C96*100</f>
        <v>121.73210172908982</v>
      </c>
      <c r="G96" s="216"/>
      <c r="H96"/>
      <c r="I96"/>
      <c r="J96" s="216"/>
      <c r="K96" s="216"/>
      <c r="L96" s="216"/>
    </row>
    <row r="97" spans="1:12" ht="37.5" customHeight="1">
      <c r="A97" s="275" t="s">
        <v>200</v>
      </c>
      <c r="B97" s="276"/>
      <c r="C97" s="276"/>
      <c r="D97" s="276"/>
      <c r="E97" s="276"/>
      <c r="F97" s="276"/>
      <c r="G97" s="277"/>
      <c r="H97"/>
      <c r="I97"/>
      <c r="J97" s="276"/>
      <c r="K97" s="276"/>
      <c r="L97" s="277"/>
    </row>
    <row r="98" spans="1:12" s="264" customFormat="1" ht="38.25">
      <c r="A98" s="8" t="s">
        <v>6</v>
      </c>
      <c r="B98" s="110">
        <v>1240</v>
      </c>
      <c r="C98" s="240">
        <f t="shared" ref="C98:E98" si="25">C13+C30+C89+C91</f>
        <v>7495.3</v>
      </c>
      <c r="D98" s="463">
        <f t="shared" si="25"/>
        <v>8705.4000000000015</v>
      </c>
      <c r="E98" s="240">
        <f t="shared" si="25"/>
        <v>1210.1000000000013</v>
      </c>
      <c r="F98" s="402">
        <f>D98/C98*100</f>
        <v>116.14478406468054</v>
      </c>
      <c r="G98" s="287" t="s">
        <v>541</v>
      </c>
      <c r="H98"/>
      <c r="I98"/>
      <c r="J98" s="240"/>
      <c r="K98" s="240"/>
      <c r="L98" s="240"/>
    </row>
    <row r="99" spans="1:12" s="264" customFormat="1" ht="51">
      <c r="A99" s="8" t="s">
        <v>90</v>
      </c>
      <c r="B99" s="110">
        <v>1250</v>
      </c>
      <c r="C99" s="240">
        <f t="shared" ref="C99:E99" si="26">C14+C31+C62+C79+C90+C92+C94</f>
        <v>7478.8704800000014</v>
      </c>
      <c r="D99" s="463">
        <f>D14+D31+D62+D79+D90+D92+D94</f>
        <v>8685.4000000000015</v>
      </c>
      <c r="E99" s="240">
        <f t="shared" si="26"/>
        <v>1206.5295199999998</v>
      </c>
      <c r="F99" s="240">
        <f>D99/C99*100</f>
        <v>116.13250989205525</v>
      </c>
      <c r="G99" s="287" t="s">
        <v>539</v>
      </c>
      <c r="H99"/>
      <c r="I99"/>
      <c r="J99" s="240"/>
      <c r="K99" s="240"/>
      <c r="L99" s="240"/>
    </row>
    <row r="100" spans="1:12" ht="24.75" customHeight="1">
      <c r="A100" s="275" t="s">
        <v>171</v>
      </c>
      <c r="B100" s="276"/>
      <c r="C100" s="276"/>
      <c r="D100" s="458"/>
      <c r="E100" s="276"/>
      <c r="F100" s="276"/>
      <c r="G100" s="277"/>
      <c r="H100"/>
      <c r="I100"/>
      <c r="J100" s="276"/>
      <c r="K100" s="276"/>
      <c r="L100" s="277"/>
    </row>
    <row r="101" spans="1:12" ht="19.5" customHeight="1">
      <c r="A101" s="8" t="s">
        <v>201</v>
      </c>
      <c r="B101" s="153">
        <v>1260</v>
      </c>
      <c r="C101" s="90">
        <f t="shared" ref="C101:D101" si="27">C102+C103</f>
        <v>2279.6</v>
      </c>
      <c r="D101" s="465">
        <f t="shared" si="27"/>
        <v>2466.1000000000004</v>
      </c>
      <c r="E101" s="90">
        <f t="shared" ref="E101:E107" si="28">D101-C101</f>
        <v>186.50000000000045</v>
      </c>
      <c r="F101" s="90">
        <f t="shared" ref="F101:F107" si="29">D101/C101*100</f>
        <v>108.18125987015267</v>
      </c>
      <c r="G101" s="318"/>
      <c r="H101" s="433"/>
      <c r="I101"/>
      <c r="J101" s="270"/>
      <c r="K101" s="270"/>
      <c r="L101" s="270"/>
    </row>
    <row r="102" spans="1:12" s="264" customFormat="1" ht="18" customHeight="1">
      <c r="A102" s="143" t="s">
        <v>199</v>
      </c>
      <c r="B102" s="153">
        <v>1261</v>
      </c>
      <c r="C102" s="265">
        <f>'1.1.Фінансовий результат'!G102+'1.1.Фінансовий результат'!H102</f>
        <v>1044.0999999999999</v>
      </c>
      <c r="D102" s="263">
        <f>D15+D26+D54+D56+D60+D72+D73-77.6</f>
        <v>1213.3000000000002</v>
      </c>
      <c r="E102" s="263">
        <f t="shared" si="28"/>
        <v>169.20000000000027</v>
      </c>
      <c r="F102" s="263">
        <f t="shared" si="29"/>
        <v>116.20534431567859</v>
      </c>
      <c r="G102" s="437"/>
      <c r="H102" s="434"/>
      <c r="I102" s="429"/>
      <c r="J102" s="263"/>
      <c r="K102" s="263"/>
      <c r="L102" s="263"/>
    </row>
    <row r="103" spans="1:12" s="264" customFormat="1" ht="15.75">
      <c r="A103" s="143" t="s">
        <v>11</v>
      </c>
      <c r="B103" s="153">
        <v>1262</v>
      </c>
      <c r="C103" s="265">
        <f>'1.1.Фінансовий результат'!G103+'1.1.Фінансовий результат'!H103</f>
        <v>1235.5</v>
      </c>
      <c r="D103" s="263">
        <f>D16+D17+D55+D71+34.2</f>
        <v>1252.8</v>
      </c>
      <c r="E103" s="263">
        <f t="shared" si="28"/>
        <v>17.299999999999955</v>
      </c>
      <c r="F103" s="263">
        <f t="shared" si="29"/>
        <v>101.40024281667341</v>
      </c>
      <c r="G103" s="437"/>
      <c r="H103" s="434"/>
      <c r="I103" s="429"/>
      <c r="J103" s="263"/>
      <c r="K103" s="263"/>
      <c r="L103" s="263"/>
    </row>
    <row r="104" spans="1:12" s="264" customFormat="1">
      <c r="A104" s="8" t="s">
        <v>2</v>
      </c>
      <c r="B104" s="153">
        <v>1270</v>
      </c>
      <c r="C104" s="90">
        <f>'1.1.Фінансовий результат'!G104+'1.1.Фінансовий результат'!H104</f>
        <v>3622.2000000000003</v>
      </c>
      <c r="D104" s="463">
        <f>D18+D39+D65+'5. Інша інформація'!I63</f>
        <v>4398</v>
      </c>
      <c r="E104" s="240">
        <f t="shared" si="28"/>
        <v>775.79999999999973</v>
      </c>
      <c r="F104" s="240">
        <f t="shared" si="29"/>
        <v>121.41792280934239</v>
      </c>
      <c r="G104" s="437"/>
      <c r="H104" s="423"/>
      <c r="I104"/>
      <c r="J104" s="240"/>
      <c r="K104" s="240"/>
      <c r="L104" s="240"/>
    </row>
    <row r="105" spans="1:12" s="264" customFormat="1" ht="20.25" customHeight="1">
      <c r="A105" s="8" t="s">
        <v>3</v>
      </c>
      <c r="B105" s="153">
        <v>1280</v>
      </c>
      <c r="C105" s="90">
        <f>'1.1.Фінансовий результат'!G105+'1.1.Фінансовий результат'!H105</f>
        <v>796.76400000000001</v>
      </c>
      <c r="D105" s="463">
        <f>D19+D40+D66+'5. Інша інформація'!J63</f>
        <v>933.99999999999989</v>
      </c>
      <c r="E105" s="240">
        <f t="shared" si="28"/>
        <v>137.23599999999988</v>
      </c>
      <c r="F105" s="240">
        <f t="shared" si="29"/>
        <v>117.22417177482917</v>
      </c>
      <c r="G105" s="437"/>
      <c r="H105" s="423"/>
      <c r="I105"/>
      <c r="J105" s="240"/>
      <c r="K105" s="240"/>
      <c r="L105" s="240"/>
    </row>
    <row r="106" spans="1:12" s="264" customFormat="1">
      <c r="A106" s="8" t="s">
        <v>4</v>
      </c>
      <c r="B106" s="153">
        <v>1290</v>
      </c>
      <c r="C106" s="90">
        <f>'1.1.Фінансовий результат'!G106+'1.1.Фінансовий результат'!H106</f>
        <v>145.6</v>
      </c>
      <c r="D106" s="463">
        <f>D21+D41+D67+'5. Інша інформація'!K63</f>
        <v>98</v>
      </c>
      <c r="E106" s="240">
        <f t="shared" si="28"/>
        <v>-47.599999999999994</v>
      </c>
      <c r="F106" s="240">
        <f t="shared" si="29"/>
        <v>67.307692307692307</v>
      </c>
      <c r="G106" s="437"/>
      <c r="H106" s="435"/>
      <c r="I106"/>
      <c r="J106" s="240"/>
      <c r="K106" s="240"/>
      <c r="L106" s="240"/>
    </row>
    <row r="107" spans="1:12" s="264" customFormat="1">
      <c r="A107" s="8" t="s">
        <v>12</v>
      </c>
      <c r="B107" s="153">
        <v>1300</v>
      </c>
      <c r="C107" s="90">
        <f>'1.1.Фінансовий результат'!G107+'1.1.Фінансовий результат'!H107</f>
        <v>631.1</v>
      </c>
      <c r="D107" s="432">
        <f>D23+D24+D25+D27+D28+D32+D35+D36+D38+D42+D43+D44+D45+D46+D47+D48+D49+D50+D51+D54+D57+D58+D59+D61+D70+D74+D75+D77+D78+D79+34.4</f>
        <v>783.99999999999989</v>
      </c>
      <c r="E107" s="461">
        <f t="shared" si="28"/>
        <v>152.89999999999986</v>
      </c>
      <c r="F107" s="240">
        <f t="shared" si="29"/>
        <v>124.22753921723972</v>
      </c>
      <c r="G107" s="437"/>
      <c r="H107" s="431"/>
      <c r="I107" s="429"/>
      <c r="J107" s="240"/>
      <c r="K107" s="240"/>
      <c r="L107" s="240"/>
    </row>
    <row r="108" spans="1:12" ht="20.25">
      <c r="A108" s="213" t="s">
        <v>40</v>
      </c>
      <c r="B108" s="218">
        <v>1310</v>
      </c>
      <c r="C108" s="217">
        <f t="shared" ref="C108" si="30">C101+C104+C105+C106+C107</f>
        <v>7475.264000000001</v>
      </c>
      <c r="D108" s="217">
        <f>D101+D104+D105+D106+D107</f>
        <v>8680.1</v>
      </c>
      <c r="E108" s="169">
        <f t="shared" ref="E108" si="31">D108-C108</f>
        <v>1204.8359999999993</v>
      </c>
      <c r="F108" s="217">
        <f t="shared" ref="F108" si="32">D108/C108*100</f>
        <v>116.11763811953664</v>
      </c>
      <c r="G108" s="318"/>
      <c r="H108" s="436"/>
      <c r="I108" s="430"/>
      <c r="J108" s="217"/>
      <c r="K108" s="217"/>
      <c r="L108" s="217"/>
    </row>
    <row r="109" spans="1:12" ht="56.25" customHeight="1">
      <c r="A109" s="444" t="s">
        <v>417</v>
      </c>
      <c r="B109" s="1"/>
      <c r="C109" s="445"/>
      <c r="D109" s="445"/>
      <c r="E109" s="1"/>
      <c r="F109" s="531" t="s">
        <v>326</v>
      </c>
      <c r="G109" s="531"/>
      <c r="H109" s="409"/>
      <c r="I109" s="409"/>
    </row>
    <row r="110" spans="1:12" s="264" customFormat="1" ht="12.75">
      <c r="A110" s="271" t="s">
        <v>177</v>
      </c>
      <c r="B110" s="272"/>
      <c r="C110" s="529"/>
      <c r="D110" s="529"/>
      <c r="E110" s="529"/>
      <c r="F110" s="278" t="s">
        <v>78</v>
      </c>
      <c r="G110" s="278"/>
      <c r="H110"/>
      <c r="I110"/>
    </row>
    <row r="111" spans="1:12">
      <c r="A111" s="24"/>
      <c r="C111" s="236"/>
      <c r="D111" s="236"/>
      <c r="E111" s="25"/>
      <c r="F111" s="25"/>
      <c r="G111" s="25"/>
      <c r="H111"/>
      <c r="I111"/>
      <c r="J111" s="25"/>
      <c r="K111" s="25"/>
      <c r="L111" s="25"/>
    </row>
    <row r="112" spans="1:12">
      <c r="A112" s="24"/>
      <c r="C112" s="236"/>
      <c r="D112" s="236"/>
      <c r="E112" s="25"/>
      <c r="F112" s="25"/>
      <c r="G112" s="25"/>
      <c r="H112"/>
      <c r="I112"/>
      <c r="J112" s="25"/>
      <c r="K112" s="25"/>
      <c r="L112" s="25"/>
    </row>
    <row r="113" spans="1:12">
      <c r="A113" s="24"/>
      <c r="C113" s="236"/>
      <c r="D113" s="236"/>
      <c r="E113" s="25"/>
      <c r="F113" s="25"/>
      <c r="G113" s="25"/>
      <c r="H113" s="25"/>
      <c r="I113" s="25"/>
      <c r="J113" s="25"/>
      <c r="K113" s="25"/>
      <c r="L113" s="25"/>
    </row>
    <row r="114" spans="1:12">
      <c r="A114" s="24"/>
      <c r="C114" s="236"/>
      <c r="D114" s="236"/>
      <c r="E114" s="25"/>
      <c r="F114" s="25"/>
      <c r="G114" s="25"/>
      <c r="H114" s="25"/>
      <c r="I114" s="25"/>
      <c r="J114" s="25"/>
      <c r="K114" s="25"/>
      <c r="L114" s="25"/>
    </row>
    <row r="115" spans="1:12">
      <c r="A115" s="24"/>
      <c r="C115" s="236"/>
      <c r="D115" s="236"/>
      <c r="E115" s="25"/>
      <c r="F115" s="25"/>
      <c r="G115" s="25"/>
      <c r="H115" s="25"/>
      <c r="I115" s="25"/>
      <c r="J115" s="25"/>
      <c r="K115" s="25"/>
      <c r="L115" s="25"/>
    </row>
    <row r="116" spans="1:12">
      <c r="A116" s="24"/>
      <c r="C116" s="236"/>
      <c r="D116" s="236"/>
      <c r="E116" s="25"/>
      <c r="F116" s="25"/>
      <c r="G116" s="25"/>
      <c r="H116" s="25"/>
      <c r="I116" s="25"/>
      <c r="J116" s="25"/>
      <c r="K116" s="25"/>
      <c r="L116" s="25"/>
    </row>
    <row r="117" spans="1:12">
      <c r="A117" s="24"/>
      <c r="C117" s="236"/>
      <c r="D117" s="236"/>
      <c r="E117" s="25"/>
      <c r="F117" s="25"/>
      <c r="G117" s="25"/>
      <c r="H117" s="25"/>
      <c r="I117" s="25"/>
      <c r="J117" s="25"/>
      <c r="K117" s="25"/>
      <c r="L117" s="25"/>
    </row>
    <row r="118" spans="1:12">
      <c r="A118" s="24"/>
      <c r="C118" s="236"/>
      <c r="D118" s="236"/>
      <c r="E118" s="25"/>
      <c r="F118" s="25"/>
      <c r="G118" s="25"/>
      <c r="H118" s="25"/>
      <c r="I118" s="25"/>
      <c r="J118" s="25"/>
      <c r="K118" s="25"/>
      <c r="L118" s="25"/>
    </row>
    <row r="119" spans="1:12">
      <c r="A119" s="24"/>
      <c r="C119" s="236"/>
      <c r="D119" s="236"/>
      <c r="E119" s="25"/>
      <c r="F119" s="25"/>
      <c r="G119" s="25"/>
      <c r="H119" s="25"/>
      <c r="I119" s="25"/>
      <c r="J119" s="25"/>
      <c r="K119" s="25"/>
      <c r="L119" s="25"/>
    </row>
    <row r="120" spans="1:12">
      <c r="A120" s="24"/>
      <c r="C120" s="236"/>
      <c r="D120" s="236"/>
      <c r="E120" s="25"/>
      <c r="F120" s="25"/>
      <c r="G120" s="25"/>
      <c r="H120" s="25"/>
      <c r="I120" s="25"/>
      <c r="J120" s="25"/>
      <c r="K120" s="25"/>
      <c r="L120" s="25"/>
    </row>
    <row r="121" spans="1:12">
      <c r="A121" s="24"/>
      <c r="C121" s="236"/>
      <c r="D121" s="236"/>
      <c r="E121" s="25"/>
      <c r="F121" s="25"/>
      <c r="G121" s="25"/>
      <c r="H121" s="25"/>
      <c r="I121" s="25"/>
      <c r="J121" s="25"/>
      <c r="K121" s="25"/>
      <c r="L121" s="25"/>
    </row>
    <row r="122" spans="1:12">
      <c r="A122" s="24"/>
      <c r="C122" s="236"/>
      <c r="D122" s="236"/>
      <c r="E122" s="25"/>
      <c r="F122" s="25"/>
      <c r="G122" s="25"/>
      <c r="H122" s="25"/>
      <c r="I122" s="25"/>
      <c r="J122" s="25"/>
      <c r="K122" s="25"/>
      <c r="L122" s="25"/>
    </row>
    <row r="123" spans="1:12">
      <c r="A123" s="24"/>
      <c r="C123" s="236"/>
      <c r="D123" s="236"/>
      <c r="E123" s="25"/>
      <c r="F123" s="25"/>
      <c r="G123" s="25"/>
      <c r="H123" s="25"/>
      <c r="I123" s="25"/>
      <c r="J123" s="25"/>
      <c r="K123" s="25"/>
      <c r="L123" s="25"/>
    </row>
    <row r="124" spans="1:12">
      <c r="A124" s="24"/>
      <c r="C124" s="236"/>
      <c r="D124" s="236"/>
      <c r="E124" s="25"/>
      <c r="F124" s="25"/>
      <c r="G124" s="25"/>
      <c r="H124" s="25"/>
      <c r="I124" s="25"/>
      <c r="J124" s="25"/>
      <c r="K124" s="25"/>
      <c r="L124" s="25"/>
    </row>
    <row r="125" spans="1:12">
      <c r="A125" s="24"/>
      <c r="C125" s="236"/>
      <c r="D125" s="236"/>
      <c r="E125" s="25"/>
      <c r="F125" s="25"/>
      <c r="G125" s="25"/>
      <c r="H125" s="25"/>
      <c r="I125" s="25"/>
      <c r="J125" s="25"/>
      <c r="K125" s="25"/>
      <c r="L125" s="25"/>
    </row>
    <row r="126" spans="1:12">
      <c r="A126" s="24"/>
      <c r="C126" s="236"/>
      <c r="D126" s="236"/>
      <c r="E126" s="25"/>
      <c r="F126" s="25"/>
      <c r="G126" s="25"/>
      <c r="H126" s="25"/>
      <c r="I126" s="25"/>
      <c r="J126" s="25"/>
      <c r="K126" s="25"/>
      <c r="L126" s="25"/>
    </row>
    <row r="127" spans="1:12">
      <c r="A127" s="24"/>
      <c r="C127" s="236"/>
      <c r="D127" s="236"/>
      <c r="E127" s="25"/>
      <c r="F127" s="25"/>
      <c r="G127" s="25"/>
      <c r="H127" s="25"/>
      <c r="I127" s="25"/>
      <c r="J127" s="25"/>
      <c r="K127" s="25"/>
      <c r="L127" s="25"/>
    </row>
    <row r="128" spans="1:12">
      <c r="A128" s="24"/>
      <c r="C128" s="236"/>
      <c r="D128" s="236"/>
      <c r="E128" s="25"/>
      <c r="F128" s="25"/>
      <c r="G128" s="25"/>
      <c r="H128" s="25"/>
      <c r="I128" s="25"/>
      <c r="J128" s="25"/>
      <c r="K128" s="25"/>
      <c r="L128" s="25"/>
    </row>
    <row r="129" spans="1:12">
      <c r="A129" s="24"/>
      <c r="C129" s="236"/>
      <c r="D129" s="236"/>
      <c r="E129" s="25"/>
      <c r="F129" s="25"/>
      <c r="G129" s="25"/>
      <c r="H129" s="25"/>
      <c r="I129" s="25"/>
      <c r="J129" s="25"/>
      <c r="K129" s="25"/>
      <c r="L129" s="25"/>
    </row>
    <row r="130" spans="1:12">
      <c r="A130" s="24"/>
      <c r="C130" s="236"/>
      <c r="D130" s="236"/>
      <c r="E130" s="25"/>
      <c r="F130" s="25"/>
      <c r="G130" s="25"/>
      <c r="H130" s="25"/>
      <c r="I130" s="25"/>
      <c r="J130" s="25"/>
      <c r="K130" s="25"/>
      <c r="L130" s="25"/>
    </row>
    <row r="131" spans="1:12">
      <c r="A131" s="24"/>
      <c r="C131" s="236"/>
      <c r="D131" s="236"/>
      <c r="E131" s="25"/>
      <c r="F131" s="25"/>
      <c r="G131" s="25"/>
      <c r="H131" s="25"/>
      <c r="I131" s="25"/>
      <c r="J131" s="25"/>
      <c r="K131" s="25"/>
      <c r="L131" s="25"/>
    </row>
    <row r="132" spans="1:12">
      <c r="A132" s="24"/>
      <c r="C132" s="236"/>
      <c r="D132" s="236"/>
      <c r="E132" s="25"/>
      <c r="F132" s="25"/>
      <c r="G132" s="25"/>
      <c r="H132" s="25"/>
      <c r="I132" s="25"/>
      <c r="J132" s="25"/>
      <c r="K132" s="25"/>
      <c r="L132" s="25"/>
    </row>
    <row r="133" spans="1:12">
      <c r="A133" s="24"/>
      <c r="C133" s="236"/>
      <c r="D133" s="236"/>
      <c r="E133" s="25"/>
      <c r="F133" s="25"/>
      <c r="G133" s="25"/>
      <c r="H133" s="25"/>
      <c r="I133" s="25"/>
      <c r="J133" s="25"/>
      <c r="K133" s="25"/>
      <c r="L133" s="25"/>
    </row>
    <row r="134" spans="1:12">
      <c r="A134" s="24"/>
      <c r="C134" s="236"/>
      <c r="D134" s="236"/>
      <c r="E134" s="25"/>
      <c r="F134" s="25"/>
      <c r="G134" s="25"/>
      <c r="H134" s="25"/>
      <c r="I134" s="25"/>
      <c r="J134" s="25"/>
      <c r="K134" s="25"/>
      <c r="L134" s="25"/>
    </row>
    <row r="135" spans="1:12">
      <c r="A135" s="24"/>
      <c r="C135" s="236"/>
      <c r="D135" s="236"/>
      <c r="E135" s="25"/>
      <c r="F135" s="25"/>
      <c r="G135" s="25"/>
      <c r="H135" s="25"/>
      <c r="I135" s="25"/>
      <c r="J135" s="25"/>
      <c r="K135" s="25"/>
      <c r="L135" s="25"/>
    </row>
    <row r="136" spans="1:12">
      <c r="A136" s="24"/>
      <c r="C136" s="236"/>
      <c r="D136" s="236"/>
      <c r="E136" s="25"/>
      <c r="F136" s="25"/>
      <c r="G136" s="25"/>
      <c r="H136" s="25"/>
      <c r="I136" s="25"/>
      <c r="J136" s="25"/>
      <c r="K136" s="25"/>
      <c r="L136" s="25"/>
    </row>
    <row r="137" spans="1:12">
      <c r="A137" s="24"/>
      <c r="C137" s="236"/>
      <c r="D137" s="236"/>
      <c r="E137" s="25"/>
      <c r="F137" s="25"/>
      <c r="G137" s="25"/>
      <c r="H137" s="25"/>
      <c r="I137" s="25"/>
      <c r="J137" s="25"/>
      <c r="K137" s="25"/>
      <c r="L137" s="25"/>
    </row>
    <row r="138" spans="1:12">
      <c r="A138" s="24"/>
      <c r="C138" s="236"/>
      <c r="D138" s="236"/>
      <c r="E138" s="25"/>
      <c r="F138" s="25"/>
      <c r="G138" s="25"/>
      <c r="H138" s="25"/>
      <c r="I138" s="25"/>
      <c r="J138" s="25"/>
      <c r="K138" s="25"/>
      <c r="L138" s="25"/>
    </row>
    <row r="139" spans="1:12">
      <c r="A139" s="24"/>
      <c r="C139" s="236"/>
      <c r="D139" s="236"/>
      <c r="E139" s="25"/>
      <c r="F139" s="25"/>
      <c r="G139" s="25"/>
      <c r="H139" s="25"/>
      <c r="I139" s="25"/>
      <c r="J139" s="25"/>
      <c r="K139" s="25"/>
      <c r="L139" s="25"/>
    </row>
    <row r="140" spans="1:12">
      <c r="A140" s="24"/>
      <c r="C140" s="236"/>
      <c r="D140" s="236"/>
      <c r="E140" s="25"/>
      <c r="F140" s="25"/>
      <c r="G140" s="25"/>
      <c r="H140" s="25"/>
      <c r="I140" s="25"/>
      <c r="J140" s="25"/>
      <c r="K140" s="25"/>
      <c r="L140" s="25"/>
    </row>
    <row r="141" spans="1:12">
      <c r="A141" s="24"/>
      <c r="C141" s="236"/>
      <c r="D141" s="236"/>
      <c r="E141" s="25"/>
      <c r="F141" s="25"/>
      <c r="G141" s="25"/>
      <c r="H141" s="25"/>
      <c r="I141" s="25"/>
      <c r="J141" s="25"/>
      <c r="K141" s="25"/>
      <c r="L141" s="25"/>
    </row>
    <row r="142" spans="1:12">
      <c r="A142" s="24"/>
      <c r="C142" s="236"/>
      <c r="D142" s="236"/>
      <c r="E142" s="25"/>
      <c r="F142" s="25"/>
      <c r="G142" s="25"/>
      <c r="H142" s="25"/>
      <c r="I142" s="25"/>
      <c r="J142" s="25"/>
      <c r="K142" s="25"/>
      <c r="L142" s="25"/>
    </row>
    <row r="143" spans="1:12">
      <c r="A143" s="24"/>
      <c r="C143" s="236"/>
      <c r="D143" s="236"/>
      <c r="E143" s="25"/>
      <c r="F143" s="25"/>
      <c r="G143" s="25"/>
      <c r="H143" s="25"/>
      <c r="I143" s="25"/>
      <c r="J143" s="25"/>
      <c r="K143" s="25"/>
      <c r="L143" s="25"/>
    </row>
    <row r="144" spans="1:12">
      <c r="A144" s="24"/>
      <c r="C144" s="236"/>
      <c r="D144" s="236"/>
      <c r="E144" s="25"/>
      <c r="F144" s="25"/>
      <c r="G144" s="25"/>
      <c r="H144" s="25"/>
      <c r="I144" s="25"/>
      <c r="J144" s="25"/>
      <c r="K144" s="25"/>
      <c r="L144" s="25"/>
    </row>
    <row r="145" spans="1:12">
      <c r="A145" s="24"/>
      <c r="C145" s="236"/>
      <c r="D145" s="236"/>
      <c r="E145" s="25"/>
      <c r="F145" s="25"/>
      <c r="G145" s="25"/>
      <c r="H145" s="25"/>
      <c r="I145" s="25"/>
      <c r="J145" s="25"/>
      <c r="K145" s="25"/>
      <c r="L145" s="25"/>
    </row>
    <row r="146" spans="1:12">
      <c r="A146" s="24"/>
      <c r="C146" s="236"/>
      <c r="D146" s="236"/>
      <c r="E146" s="25"/>
      <c r="F146" s="25"/>
      <c r="G146" s="25"/>
      <c r="H146" s="25"/>
      <c r="I146" s="25"/>
      <c r="J146" s="25"/>
      <c r="K146" s="25"/>
      <c r="L146" s="25"/>
    </row>
    <row r="147" spans="1:12">
      <c r="A147" s="24"/>
      <c r="C147" s="236"/>
      <c r="D147" s="236"/>
      <c r="E147" s="25"/>
      <c r="F147" s="25"/>
      <c r="G147" s="25"/>
      <c r="H147" s="25"/>
      <c r="I147" s="25"/>
      <c r="J147" s="25"/>
      <c r="K147" s="25"/>
      <c r="L147" s="25"/>
    </row>
    <row r="148" spans="1:12">
      <c r="A148" s="24"/>
      <c r="C148" s="236"/>
      <c r="D148" s="236"/>
      <c r="E148" s="25"/>
      <c r="F148" s="25"/>
      <c r="G148" s="25"/>
      <c r="H148" s="25"/>
      <c r="I148" s="25"/>
      <c r="J148" s="25"/>
      <c r="K148" s="25"/>
      <c r="L148" s="25"/>
    </row>
    <row r="149" spans="1:12">
      <c r="A149" s="24"/>
      <c r="C149" s="236"/>
      <c r="D149" s="236"/>
      <c r="E149" s="25"/>
      <c r="F149" s="25"/>
      <c r="G149" s="25"/>
      <c r="H149" s="25"/>
      <c r="I149" s="25"/>
      <c r="J149" s="25"/>
      <c r="K149" s="25"/>
      <c r="L149" s="25"/>
    </row>
    <row r="150" spans="1:12">
      <c r="A150" s="24"/>
      <c r="C150" s="236"/>
      <c r="D150" s="236"/>
      <c r="E150" s="25"/>
      <c r="F150" s="25"/>
      <c r="G150" s="25"/>
      <c r="H150" s="25"/>
      <c r="I150" s="25"/>
      <c r="J150" s="25"/>
      <c r="K150" s="25"/>
      <c r="L150" s="25"/>
    </row>
    <row r="151" spans="1:12">
      <c r="A151" s="24"/>
      <c r="C151" s="236"/>
      <c r="D151" s="236"/>
      <c r="E151" s="25"/>
      <c r="F151" s="25"/>
      <c r="G151" s="25"/>
      <c r="H151" s="25"/>
      <c r="I151" s="25"/>
      <c r="J151" s="25"/>
      <c r="K151" s="25"/>
      <c r="L151" s="25"/>
    </row>
    <row r="152" spans="1:12">
      <c r="A152" s="24"/>
      <c r="C152" s="236"/>
      <c r="D152" s="236"/>
      <c r="E152" s="25"/>
      <c r="F152" s="25"/>
      <c r="G152" s="25"/>
      <c r="H152" s="25"/>
      <c r="I152" s="25"/>
      <c r="J152" s="25"/>
      <c r="K152" s="25"/>
      <c r="L152" s="25"/>
    </row>
    <row r="153" spans="1:12">
      <c r="A153" s="24"/>
      <c r="C153" s="236"/>
      <c r="D153" s="236"/>
      <c r="E153" s="25"/>
      <c r="F153" s="25"/>
      <c r="G153" s="25"/>
      <c r="H153" s="25"/>
      <c r="I153" s="25"/>
      <c r="J153" s="25"/>
      <c r="K153" s="25"/>
      <c r="L153" s="25"/>
    </row>
    <row r="154" spans="1:12">
      <c r="A154" s="24"/>
      <c r="C154" s="236"/>
      <c r="D154" s="236"/>
      <c r="E154" s="25"/>
      <c r="F154" s="25"/>
      <c r="G154" s="25"/>
      <c r="H154" s="25"/>
      <c r="I154" s="25"/>
      <c r="J154" s="25"/>
      <c r="K154" s="25"/>
      <c r="L154" s="25"/>
    </row>
    <row r="155" spans="1:12">
      <c r="A155" s="24"/>
      <c r="C155" s="236"/>
      <c r="D155" s="236"/>
      <c r="E155" s="25"/>
      <c r="F155" s="25"/>
      <c r="G155" s="25"/>
      <c r="H155" s="25"/>
      <c r="I155" s="25"/>
      <c r="J155" s="25"/>
      <c r="K155" s="25"/>
      <c r="L155" s="25"/>
    </row>
    <row r="156" spans="1:12">
      <c r="A156" s="24"/>
      <c r="C156" s="236"/>
      <c r="D156" s="236"/>
      <c r="E156" s="25"/>
      <c r="F156" s="25"/>
      <c r="G156" s="25"/>
      <c r="H156" s="25"/>
      <c r="I156" s="25"/>
      <c r="J156" s="25"/>
      <c r="K156" s="25"/>
      <c r="L156" s="25"/>
    </row>
    <row r="157" spans="1:12">
      <c r="A157" s="24"/>
      <c r="C157" s="236"/>
      <c r="D157" s="236"/>
      <c r="E157" s="25"/>
      <c r="F157" s="25"/>
      <c r="G157" s="25"/>
      <c r="H157" s="25"/>
      <c r="I157" s="25"/>
      <c r="J157" s="25"/>
      <c r="K157" s="25"/>
      <c r="L157" s="25"/>
    </row>
    <row r="158" spans="1:12">
      <c r="A158" s="24"/>
      <c r="C158" s="236"/>
      <c r="D158" s="236"/>
      <c r="E158" s="25"/>
      <c r="F158" s="25"/>
      <c r="G158" s="25"/>
      <c r="H158" s="25"/>
      <c r="I158" s="25"/>
      <c r="J158" s="25"/>
      <c r="K158" s="25"/>
      <c r="L158" s="25"/>
    </row>
    <row r="159" spans="1:12">
      <c r="A159" s="24"/>
      <c r="C159" s="236"/>
      <c r="D159" s="236"/>
      <c r="E159" s="25"/>
      <c r="F159" s="25"/>
      <c r="G159" s="25"/>
      <c r="H159" s="25"/>
      <c r="I159" s="25"/>
      <c r="J159" s="25"/>
      <c r="K159" s="25"/>
      <c r="L159" s="25"/>
    </row>
    <row r="160" spans="1:12">
      <c r="A160" s="24"/>
      <c r="C160" s="236"/>
      <c r="D160" s="236"/>
      <c r="E160" s="25"/>
      <c r="F160" s="25"/>
      <c r="G160" s="25"/>
      <c r="H160" s="25"/>
      <c r="I160" s="25"/>
      <c r="J160" s="25"/>
      <c r="K160" s="25"/>
      <c r="L160" s="25"/>
    </row>
    <row r="161" spans="1:12">
      <c r="A161" s="24"/>
      <c r="C161" s="236"/>
      <c r="D161" s="236"/>
      <c r="E161" s="25"/>
      <c r="F161" s="25"/>
      <c r="G161" s="25"/>
      <c r="H161" s="25"/>
      <c r="I161" s="25"/>
      <c r="J161" s="25"/>
      <c r="K161" s="25"/>
      <c r="L161" s="25"/>
    </row>
    <row r="162" spans="1:12">
      <c r="A162" s="24"/>
      <c r="C162" s="236"/>
      <c r="D162" s="236"/>
      <c r="E162" s="25"/>
      <c r="F162" s="25"/>
      <c r="G162" s="25"/>
      <c r="H162" s="25"/>
      <c r="I162" s="25"/>
      <c r="J162" s="25"/>
      <c r="K162" s="25"/>
      <c r="L162" s="25"/>
    </row>
    <row r="163" spans="1:12">
      <c r="A163" s="24"/>
      <c r="C163" s="236"/>
      <c r="D163" s="236"/>
      <c r="E163" s="25"/>
      <c r="F163" s="25"/>
      <c r="G163" s="25"/>
      <c r="H163" s="25"/>
      <c r="I163" s="25"/>
      <c r="J163" s="25"/>
      <c r="K163" s="25"/>
      <c r="L163" s="25"/>
    </row>
    <row r="164" spans="1:12">
      <c r="A164" s="24"/>
      <c r="C164" s="236"/>
      <c r="D164" s="236"/>
      <c r="E164" s="25"/>
      <c r="F164" s="25"/>
      <c r="G164" s="25"/>
      <c r="H164" s="25"/>
      <c r="I164" s="25"/>
      <c r="J164" s="25"/>
      <c r="K164" s="25"/>
      <c r="L164" s="25"/>
    </row>
    <row r="165" spans="1:12">
      <c r="A165" s="24"/>
      <c r="C165" s="236"/>
      <c r="D165" s="236"/>
      <c r="E165" s="25"/>
      <c r="F165" s="25"/>
      <c r="G165" s="25"/>
      <c r="H165" s="25"/>
      <c r="I165" s="25"/>
      <c r="J165" s="25"/>
      <c r="K165" s="25"/>
      <c r="L165" s="25"/>
    </row>
    <row r="166" spans="1:12">
      <c r="A166" s="24"/>
      <c r="C166" s="236"/>
      <c r="D166" s="236"/>
      <c r="E166" s="25"/>
      <c r="F166" s="25"/>
      <c r="G166" s="25"/>
      <c r="H166" s="25"/>
      <c r="I166" s="25"/>
      <c r="J166" s="25"/>
      <c r="K166" s="25"/>
      <c r="L166" s="25"/>
    </row>
    <row r="167" spans="1:12">
      <c r="A167" s="24"/>
      <c r="C167" s="236"/>
      <c r="D167" s="236"/>
      <c r="E167" s="25"/>
      <c r="F167" s="25"/>
      <c r="G167" s="25"/>
      <c r="H167" s="25"/>
      <c r="I167" s="25"/>
      <c r="J167" s="25"/>
      <c r="K167" s="25"/>
      <c r="L167" s="25"/>
    </row>
    <row r="168" spans="1:12">
      <c r="A168" s="24"/>
      <c r="C168" s="236"/>
      <c r="D168" s="236"/>
      <c r="E168" s="25"/>
      <c r="F168" s="25"/>
      <c r="G168" s="25"/>
      <c r="H168" s="25"/>
      <c r="I168" s="25"/>
      <c r="J168" s="25"/>
      <c r="K168" s="25"/>
      <c r="L168" s="25"/>
    </row>
    <row r="169" spans="1:12">
      <c r="A169" s="37"/>
    </row>
    <row r="170" spans="1:12">
      <c r="A170" s="37"/>
    </row>
    <row r="171" spans="1:12">
      <c r="A171" s="37"/>
    </row>
    <row r="172" spans="1:12">
      <c r="A172" s="37"/>
    </row>
    <row r="173" spans="1:12">
      <c r="A173" s="37"/>
    </row>
    <row r="174" spans="1:12">
      <c r="A174" s="37"/>
    </row>
    <row r="175" spans="1:12">
      <c r="A175" s="37"/>
    </row>
    <row r="176" spans="1:12">
      <c r="A176" s="37"/>
    </row>
    <row r="177" spans="1:1">
      <c r="A177" s="37"/>
    </row>
    <row r="178" spans="1:1">
      <c r="A178" s="37"/>
    </row>
    <row r="179" spans="1:1">
      <c r="A179" s="37"/>
    </row>
    <row r="180" spans="1:1">
      <c r="A180" s="37"/>
    </row>
    <row r="181" spans="1:1">
      <c r="A181" s="37"/>
    </row>
    <row r="182" spans="1:1">
      <c r="A182" s="37"/>
    </row>
    <row r="183" spans="1:1">
      <c r="A183" s="37"/>
    </row>
    <row r="184" spans="1:1">
      <c r="A184" s="37"/>
    </row>
    <row r="185" spans="1:1">
      <c r="A185" s="37"/>
    </row>
    <row r="186" spans="1:1">
      <c r="A186" s="37"/>
    </row>
    <row r="187" spans="1:1">
      <c r="A187" s="37"/>
    </row>
    <row r="188" spans="1:1">
      <c r="A188" s="37"/>
    </row>
    <row r="189" spans="1:1">
      <c r="A189" s="37"/>
    </row>
    <row r="190" spans="1:1">
      <c r="A190" s="37"/>
    </row>
    <row r="191" spans="1:1">
      <c r="A191" s="37"/>
    </row>
    <row r="192" spans="1:1">
      <c r="A192" s="37"/>
    </row>
    <row r="193" spans="1:1">
      <c r="A193" s="37"/>
    </row>
    <row r="194" spans="1:1">
      <c r="A194" s="37"/>
    </row>
    <row r="195" spans="1:1">
      <c r="A195" s="37"/>
    </row>
    <row r="196" spans="1:1">
      <c r="A196" s="37"/>
    </row>
    <row r="197" spans="1:1">
      <c r="A197" s="37"/>
    </row>
    <row r="198" spans="1:1">
      <c r="A198" s="37"/>
    </row>
    <row r="199" spans="1:1">
      <c r="A199" s="37"/>
    </row>
    <row r="200" spans="1:1">
      <c r="A200" s="37"/>
    </row>
    <row r="201" spans="1:1">
      <c r="A201" s="37"/>
    </row>
    <row r="202" spans="1:1">
      <c r="A202" s="37"/>
    </row>
    <row r="203" spans="1:1">
      <c r="A203" s="37"/>
    </row>
    <row r="204" spans="1:1">
      <c r="A204" s="37"/>
    </row>
    <row r="205" spans="1:1">
      <c r="A205" s="37"/>
    </row>
    <row r="206" spans="1:1">
      <c r="A206" s="37"/>
    </row>
    <row r="207" spans="1:1">
      <c r="A207" s="37"/>
    </row>
    <row r="208" spans="1:1">
      <c r="A208" s="37"/>
    </row>
    <row r="209" spans="1:1">
      <c r="A209" s="37"/>
    </row>
    <row r="210" spans="1:1">
      <c r="A210" s="37"/>
    </row>
    <row r="211" spans="1:1">
      <c r="A211" s="37"/>
    </row>
    <row r="212" spans="1:1">
      <c r="A212" s="37"/>
    </row>
    <row r="213" spans="1:1">
      <c r="A213" s="37"/>
    </row>
    <row r="214" spans="1:1">
      <c r="A214" s="37"/>
    </row>
    <row r="215" spans="1:1">
      <c r="A215" s="37"/>
    </row>
    <row r="216" spans="1:1">
      <c r="A216" s="37"/>
    </row>
    <row r="217" spans="1:1">
      <c r="A217" s="37"/>
    </row>
    <row r="218" spans="1:1">
      <c r="A218" s="37"/>
    </row>
    <row r="219" spans="1:1">
      <c r="A219" s="37"/>
    </row>
    <row r="220" spans="1:1">
      <c r="A220" s="37"/>
    </row>
    <row r="221" spans="1:1">
      <c r="A221" s="37"/>
    </row>
    <row r="222" spans="1:1">
      <c r="A222" s="37"/>
    </row>
    <row r="223" spans="1:1">
      <c r="A223" s="37"/>
    </row>
    <row r="224" spans="1:1">
      <c r="A224" s="37"/>
    </row>
    <row r="225" spans="1:1">
      <c r="A225" s="37"/>
    </row>
    <row r="226" spans="1:1">
      <c r="A226" s="37"/>
    </row>
    <row r="227" spans="1:1">
      <c r="A227" s="37"/>
    </row>
    <row r="228" spans="1:1">
      <c r="A228" s="37"/>
    </row>
    <row r="229" spans="1:1">
      <c r="A229" s="37"/>
    </row>
    <row r="230" spans="1:1">
      <c r="A230" s="37"/>
    </row>
    <row r="231" spans="1:1">
      <c r="A231" s="37"/>
    </row>
    <row r="232" spans="1:1">
      <c r="A232" s="37"/>
    </row>
    <row r="233" spans="1:1">
      <c r="A233" s="37"/>
    </row>
    <row r="234" spans="1:1">
      <c r="A234" s="37"/>
    </row>
    <row r="235" spans="1:1">
      <c r="A235" s="37"/>
    </row>
    <row r="236" spans="1:1">
      <c r="A236" s="37"/>
    </row>
    <row r="237" spans="1:1">
      <c r="A237" s="37"/>
    </row>
    <row r="238" spans="1:1">
      <c r="A238" s="37"/>
    </row>
    <row r="239" spans="1:1">
      <c r="A239" s="37"/>
    </row>
    <row r="240" spans="1:1">
      <c r="A240" s="37"/>
    </row>
    <row r="241" spans="1:1">
      <c r="A241" s="37"/>
    </row>
    <row r="242" spans="1:1">
      <c r="A242" s="37"/>
    </row>
    <row r="243" spans="1:1">
      <c r="A243" s="37"/>
    </row>
    <row r="244" spans="1:1">
      <c r="A244" s="37"/>
    </row>
    <row r="245" spans="1:1">
      <c r="A245" s="37"/>
    </row>
    <row r="246" spans="1:1">
      <c r="A246" s="37"/>
    </row>
    <row r="247" spans="1:1">
      <c r="A247" s="37"/>
    </row>
    <row r="248" spans="1:1">
      <c r="A248" s="37"/>
    </row>
    <row r="249" spans="1:1">
      <c r="A249" s="37"/>
    </row>
    <row r="250" spans="1:1">
      <c r="A250" s="37"/>
    </row>
    <row r="251" spans="1:1">
      <c r="A251" s="37"/>
    </row>
    <row r="252" spans="1:1">
      <c r="A252" s="37"/>
    </row>
    <row r="253" spans="1:1">
      <c r="A253" s="37"/>
    </row>
    <row r="254" spans="1:1">
      <c r="A254" s="37"/>
    </row>
    <row r="255" spans="1:1">
      <c r="A255" s="37"/>
    </row>
    <row r="256" spans="1:1">
      <c r="A256" s="37"/>
    </row>
    <row r="257" spans="1:1">
      <c r="A257" s="37"/>
    </row>
    <row r="258" spans="1:1">
      <c r="A258" s="37"/>
    </row>
    <row r="259" spans="1:1">
      <c r="A259" s="37"/>
    </row>
    <row r="260" spans="1:1">
      <c r="A260" s="37"/>
    </row>
    <row r="261" spans="1:1">
      <c r="A261" s="37"/>
    </row>
    <row r="262" spans="1:1">
      <c r="A262" s="37"/>
    </row>
    <row r="263" spans="1:1">
      <c r="A263" s="37"/>
    </row>
    <row r="264" spans="1:1">
      <c r="A264" s="37"/>
    </row>
    <row r="265" spans="1:1">
      <c r="A265" s="37"/>
    </row>
    <row r="266" spans="1:1">
      <c r="A266" s="37"/>
    </row>
    <row r="267" spans="1:1">
      <c r="A267" s="37"/>
    </row>
    <row r="268" spans="1:1">
      <c r="A268" s="37"/>
    </row>
    <row r="269" spans="1:1">
      <c r="A269" s="37"/>
    </row>
    <row r="270" spans="1:1">
      <c r="A270" s="37"/>
    </row>
    <row r="271" spans="1:1">
      <c r="A271" s="37"/>
    </row>
    <row r="272" spans="1:1">
      <c r="A272" s="37"/>
    </row>
    <row r="273" spans="1:1">
      <c r="A273" s="37"/>
    </row>
    <row r="274" spans="1:1">
      <c r="A274" s="37"/>
    </row>
    <row r="275" spans="1:1">
      <c r="A275" s="37"/>
    </row>
    <row r="276" spans="1:1">
      <c r="A276" s="37"/>
    </row>
    <row r="277" spans="1:1">
      <c r="A277" s="37"/>
    </row>
    <row r="278" spans="1:1">
      <c r="A278" s="37"/>
    </row>
    <row r="279" spans="1:1">
      <c r="A279" s="37"/>
    </row>
    <row r="280" spans="1:1">
      <c r="A280" s="37"/>
    </row>
    <row r="281" spans="1:1">
      <c r="A281" s="37"/>
    </row>
    <row r="282" spans="1:1">
      <c r="A282" s="37"/>
    </row>
    <row r="283" spans="1:1">
      <c r="A283" s="37"/>
    </row>
    <row r="284" spans="1:1">
      <c r="A284" s="37"/>
    </row>
    <row r="285" spans="1:1">
      <c r="A285" s="37"/>
    </row>
    <row r="286" spans="1:1">
      <c r="A286" s="37"/>
    </row>
    <row r="287" spans="1:1">
      <c r="A287" s="37"/>
    </row>
    <row r="288" spans="1:1">
      <c r="A288" s="37"/>
    </row>
    <row r="289" spans="1:1">
      <c r="A289" s="37"/>
    </row>
    <row r="290" spans="1:1">
      <c r="A290" s="37"/>
    </row>
    <row r="291" spans="1:1">
      <c r="A291" s="37"/>
    </row>
    <row r="292" spans="1:1">
      <c r="A292" s="37"/>
    </row>
    <row r="293" spans="1:1">
      <c r="A293" s="37"/>
    </row>
    <row r="294" spans="1:1">
      <c r="A294" s="37"/>
    </row>
    <row r="295" spans="1:1">
      <c r="A295" s="37"/>
    </row>
    <row r="296" spans="1:1">
      <c r="A296" s="37"/>
    </row>
    <row r="297" spans="1:1">
      <c r="A297" s="37"/>
    </row>
    <row r="298" spans="1:1">
      <c r="A298" s="37"/>
    </row>
    <row r="299" spans="1:1">
      <c r="A299" s="37"/>
    </row>
    <row r="300" spans="1:1">
      <c r="A300" s="37"/>
    </row>
    <row r="301" spans="1:1">
      <c r="A301" s="37"/>
    </row>
    <row r="302" spans="1:1">
      <c r="A302" s="37"/>
    </row>
    <row r="303" spans="1:1">
      <c r="A303" s="37"/>
    </row>
    <row r="304" spans="1:1">
      <c r="A304" s="37"/>
    </row>
    <row r="305" spans="1:1">
      <c r="A305" s="37"/>
    </row>
    <row r="306" spans="1:1">
      <c r="A306" s="37"/>
    </row>
    <row r="307" spans="1:1">
      <c r="A307" s="37"/>
    </row>
    <row r="308" spans="1:1">
      <c r="A308" s="37"/>
    </row>
    <row r="309" spans="1:1">
      <c r="A309" s="37"/>
    </row>
    <row r="310" spans="1:1">
      <c r="A310" s="37"/>
    </row>
    <row r="311" spans="1:1">
      <c r="A311" s="37"/>
    </row>
    <row r="312" spans="1:1">
      <c r="A312" s="37"/>
    </row>
    <row r="313" spans="1:1">
      <c r="A313" s="37"/>
    </row>
    <row r="314" spans="1:1">
      <c r="A314" s="37"/>
    </row>
    <row r="315" spans="1:1">
      <c r="A315" s="37"/>
    </row>
    <row r="316" spans="1:1">
      <c r="A316" s="37"/>
    </row>
    <row r="317" spans="1:1">
      <c r="A317" s="37"/>
    </row>
    <row r="318" spans="1:1">
      <c r="A318" s="37"/>
    </row>
    <row r="319" spans="1:1">
      <c r="A319" s="37"/>
    </row>
    <row r="320" spans="1:1">
      <c r="A320" s="37"/>
    </row>
    <row r="321" spans="1:1">
      <c r="A321" s="37"/>
    </row>
    <row r="322" spans="1:1">
      <c r="A322" s="37"/>
    </row>
    <row r="323" spans="1:1">
      <c r="A323" s="37"/>
    </row>
    <row r="324" spans="1:1">
      <c r="A324" s="37"/>
    </row>
    <row r="325" spans="1:1">
      <c r="A325" s="37"/>
    </row>
    <row r="326" spans="1:1">
      <c r="A326" s="37"/>
    </row>
    <row r="327" spans="1:1">
      <c r="A327" s="37"/>
    </row>
    <row r="328" spans="1:1">
      <c r="A328" s="37"/>
    </row>
    <row r="329" spans="1:1">
      <c r="A329" s="37"/>
    </row>
    <row r="330" spans="1:1">
      <c r="A330" s="37"/>
    </row>
    <row r="331" spans="1:1">
      <c r="A331" s="37"/>
    </row>
    <row r="332" spans="1:1">
      <c r="A332" s="37"/>
    </row>
    <row r="333" spans="1:1">
      <c r="A333" s="37"/>
    </row>
    <row r="334" spans="1:1">
      <c r="A334" s="37"/>
    </row>
    <row r="335" spans="1:1">
      <c r="A335" s="37"/>
    </row>
  </sheetData>
  <mergeCells count="15">
    <mergeCell ref="A1:G1"/>
    <mergeCell ref="G65:G66"/>
    <mergeCell ref="C110:E110"/>
    <mergeCell ref="A6:G6"/>
    <mergeCell ref="F109:G109"/>
    <mergeCell ref="A3:A4"/>
    <mergeCell ref="B3:B4"/>
    <mergeCell ref="C3:F3"/>
    <mergeCell ref="G3:G4"/>
    <mergeCell ref="G18:G19"/>
    <mergeCell ref="G39:G40"/>
    <mergeCell ref="G51:G52"/>
    <mergeCell ref="G15:G16"/>
    <mergeCell ref="G7:G9"/>
    <mergeCell ref="G74:G75"/>
  </mergeCells>
  <printOptions horizontalCentered="1"/>
  <pageMargins left="0.70866141732283472" right="0.70866141732283472" top="0.56000000000000005" bottom="0.47244094488188981" header="0.31496062992125984" footer="0.31496062992125984"/>
  <pageSetup paperSize="9" scale="59" orientation="portrait" r:id="rId1"/>
  <rowBreaks count="2" manualBreakCount="2">
    <brk id="46" max="6" man="1"/>
    <brk id="99" max="6" man="1"/>
  </rowBreaks>
  <colBreaks count="1" manualBreakCount="1">
    <brk id="7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J335"/>
  <sheetViews>
    <sheetView view="pageBreakPreview" topLeftCell="A25" zoomScale="84" zoomScaleNormal="75" zoomScaleSheetLayoutView="84" workbookViewId="0">
      <selection activeCell="A30" sqref="A30"/>
    </sheetView>
  </sheetViews>
  <sheetFormatPr defaultRowHeight="18.75" outlineLevelCol="1"/>
  <cols>
    <col min="1" max="1" width="50" style="3" customWidth="1"/>
    <col min="2" max="2" width="9.140625" style="21" customWidth="1"/>
    <col min="3" max="3" width="10.7109375" style="21" hidden="1" customWidth="1" outlineLevel="1"/>
    <col min="4" max="5" width="12.140625" style="21" hidden="1" customWidth="1" outlineLevel="1"/>
    <col min="6" max="6" width="11.7109375" style="3" customWidth="1" collapsed="1"/>
    <col min="7" max="7" width="11.42578125" style="3" customWidth="1"/>
    <col min="8" max="8" width="11.7109375" style="3" customWidth="1"/>
    <col min="9" max="9" width="10.7109375" style="3" customWidth="1"/>
    <col min="10" max="10" width="12.85546875" style="3" customWidth="1"/>
    <col min="11" max="16384" width="9.140625" style="3"/>
  </cols>
  <sheetData>
    <row r="1" spans="1:10" ht="20.25">
      <c r="A1" s="526" t="s">
        <v>186</v>
      </c>
      <c r="B1" s="526"/>
      <c r="C1" s="526"/>
      <c r="D1" s="526"/>
      <c r="E1" s="526"/>
      <c r="F1" s="526"/>
      <c r="G1" s="526"/>
      <c r="H1" s="526"/>
      <c r="I1" s="526"/>
      <c r="J1" s="526"/>
    </row>
    <row r="2" spans="1:10">
      <c r="A2" s="148"/>
      <c r="B2" s="73"/>
      <c r="C2" s="148"/>
      <c r="D2" s="148"/>
      <c r="E2" s="148"/>
      <c r="F2" s="148"/>
      <c r="G2" s="148"/>
      <c r="H2" s="148"/>
      <c r="I2" s="148"/>
      <c r="J2" s="148"/>
    </row>
    <row r="3" spans="1:10" ht="36" customHeight="1">
      <c r="A3" s="512" t="s">
        <v>183</v>
      </c>
      <c r="B3" s="518" t="s">
        <v>5</v>
      </c>
      <c r="C3" s="540" t="s">
        <v>377</v>
      </c>
      <c r="D3" s="518" t="s">
        <v>378</v>
      </c>
      <c r="E3" s="544" t="s">
        <v>379</v>
      </c>
      <c r="F3" s="544" t="s">
        <v>408</v>
      </c>
      <c r="G3" s="519" t="s">
        <v>267</v>
      </c>
      <c r="H3" s="519"/>
      <c r="I3" s="519"/>
      <c r="J3" s="519"/>
    </row>
    <row r="4" spans="1:10" ht="61.5" customHeight="1">
      <c r="A4" s="512"/>
      <c r="B4" s="518"/>
      <c r="C4" s="541"/>
      <c r="D4" s="518"/>
      <c r="E4" s="544"/>
      <c r="F4" s="544"/>
      <c r="G4" s="219" t="s">
        <v>141</v>
      </c>
      <c r="H4" s="219" t="s">
        <v>142</v>
      </c>
      <c r="I4" s="219" t="s">
        <v>143</v>
      </c>
      <c r="J4" s="219" t="s">
        <v>55</v>
      </c>
    </row>
    <row r="5" spans="1:10" ht="18" customHeight="1">
      <c r="A5" s="112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</row>
    <row r="6" spans="1:10" s="5" customFormat="1" ht="20.100000000000001" customHeight="1">
      <c r="A6" s="530" t="s">
        <v>226</v>
      </c>
      <c r="B6" s="530"/>
      <c r="C6" s="530"/>
      <c r="D6" s="530"/>
      <c r="E6" s="530"/>
      <c r="F6" s="530"/>
      <c r="G6" s="530"/>
      <c r="H6" s="530"/>
      <c r="I6" s="530"/>
      <c r="J6" s="530"/>
    </row>
    <row r="7" spans="1:10" s="5" customFormat="1" ht="45.75" customHeight="1">
      <c r="A7" s="213" t="s">
        <v>376</v>
      </c>
      <c r="B7" s="60">
        <v>1000</v>
      </c>
      <c r="C7" s="212">
        <f>C8+C9+C10</f>
        <v>12310.8</v>
      </c>
      <c r="D7" s="212">
        <f>D8+D10</f>
        <v>13247.1</v>
      </c>
      <c r="E7" s="212">
        <f t="shared" ref="E7:J7" si="0">E8+E10</f>
        <v>13698.4</v>
      </c>
      <c r="F7" s="212">
        <f t="shared" si="0"/>
        <v>15556.4</v>
      </c>
      <c r="G7" s="212">
        <f t="shared" si="0"/>
        <v>3693.3</v>
      </c>
      <c r="H7" s="212">
        <f t="shared" si="0"/>
        <v>3977</v>
      </c>
      <c r="I7" s="212">
        <f t="shared" si="0"/>
        <v>3933</v>
      </c>
      <c r="J7" s="212">
        <f t="shared" si="0"/>
        <v>3953.1</v>
      </c>
    </row>
    <row r="8" spans="1:10" s="255" customFormat="1" ht="20.100000000000001" customHeight="1">
      <c r="A8" s="261" t="s">
        <v>229</v>
      </c>
      <c r="B8" s="254">
        <v>1010</v>
      </c>
      <c r="C8" s="98">
        <v>9586.2999999999993</v>
      </c>
      <c r="D8" s="98">
        <v>9642</v>
      </c>
      <c r="E8" s="98">
        <v>10096</v>
      </c>
      <c r="F8" s="98">
        <f>G8+H8+I8+J8</f>
        <v>11000</v>
      </c>
      <c r="G8" s="98">
        <v>2866</v>
      </c>
      <c r="H8" s="98">
        <v>2734</v>
      </c>
      <c r="I8" s="98">
        <v>2690</v>
      </c>
      <c r="J8" s="98">
        <v>2710</v>
      </c>
    </row>
    <row r="9" spans="1:10" s="255" customFormat="1" ht="20.100000000000001" customHeight="1">
      <c r="A9" s="261" t="s">
        <v>230</v>
      </c>
      <c r="B9" s="254">
        <v>1011</v>
      </c>
      <c r="C9" s="253"/>
      <c r="D9" s="98"/>
      <c r="E9" s="253"/>
      <c r="F9" s="253"/>
      <c r="G9" s="253"/>
      <c r="H9" s="253"/>
      <c r="I9" s="253"/>
      <c r="J9" s="253"/>
    </row>
    <row r="10" spans="1:10" s="255" customFormat="1" ht="20.100000000000001" customHeight="1">
      <c r="A10" s="261" t="s">
        <v>231</v>
      </c>
      <c r="B10" s="254">
        <v>1012</v>
      </c>
      <c r="C10" s="98">
        <v>2724.5</v>
      </c>
      <c r="D10" s="98">
        <v>3605.1</v>
      </c>
      <c r="E10" s="253">
        <v>3602.4</v>
      </c>
      <c r="F10" s="98">
        <f>G10+H10+I10+J10</f>
        <v>4556.3999999999996</v>
      </c>
      <c r="G10" s="98">
        <v>827.3</v>
      </c>
      <c r="H10" s="98">
        <v>1243</v>
      </c>
      <c r="I10" s="98">
        <v>1243</v>
      </c>
      <c r="J10" s="98">
        <v>1243.0999999999999</v>
      </c>
    </row>
    <row r="11" spans="1:10" s="255" customFormat="1" ht="20.100000000000001" customHeight="1">
      <c r="A11" s="261" t="s">
        <v>227</v>
      </c>
      <c r="B11" s="254">
        <v>1020</v>
      </c>
      <c r="C11" s="98">
        <v>296.8</v>
      </c>
      <c r="D11" s="98">
        <v>285</v>
      </c>
      <c r="E11" s="98">
        <v>288</v>
      </c>
      <c r="F11" s="98">
        <f>G11+H11+I11+J11</f>
        <v>339.4</v>
      </c>
      <c r="G11" s="98">
        <v>50</v>
      </c>
      <c r="H11" s="98">
        <v>125</v>
      </c>
      <c r="I11" s="98">
        <v>70</v>
      </c>
      <c r="J11" s="98">
        <v>94.4</v>
      </c>
    </row>
    <row r="12" spans="1:10" s="255" customFormat="1" ht="39.75" customHeight="1">
      <c r="A12" s="261" t="s">
        <v>228</v>
      </c>
      <c r="B12" s="254">
        <v>1030</v>
      </c>
      <c r="C12" s="67"/>
      <c r="D12" s="254"/>
      <c r="E12" s="67"/>
      <c r="F12" s="67"/>
      <c r="G12" s="67"/>
      <c r="H12" s="67"/>
      <c r="I12" s="67"/>
      <c r="J12" s="67"/>
    </row>
    <row r="13" spans="1:10" s="5" customFormat="1" ht="74.25" customHeight="1">
      <c r="A13" s="213" t="s">
        <v>84</v>
      </c>
      <c r="B13" s="149">
        <v>1040</v>
      </c>
      <c r="C13" s="82">
        <f t="shared" ref="C13:I13" si="1">C7-C11-C12</f>
        <v>12014</v>
      </c>
      <c r="D13" s="82">
        <f t="shared" si="1"/>
        <v>12962.1</v>
      </c>
      <c r="E13" s="82">
        <f t="shared" si="1"/>
        <v>13410.4</v>
      </c>
      <c r="F13" s="82">
        <f t="shared" si="1"/>
        <v>15217</v>
      </c>
      <c r="G13" s="82">
        <f>G7-G11-G12</f>
        <v>3643.3</v>
      </c>
      <c r="H13" s="82">
        <f t="shared" si="1"/>
        <v>3852</v>
      </c>
      <c r="I13" s="82">
        <f t="shared" si="1"/>
        <v>3863</v>
      </c>
      <c r="J13" s="82">
        <f>J7-J11-J12</f>
        <v>3858.7</v>
      </c>
    </row>
    <row r="14" spans="1:10" ht="41.25" customHeight="1">
      <c r="A14" s="9" t="s">
        <v>98</v>
      </c>
      <c r="B14" s="149">
        <v>1050</v>
      </c>
      <c r="C14" s="169">
        <v>9815</v>
      </c>
      <c r="D14" s="169">
        <f>SUM(D15:D22)</f>
        <v>10124.1</v>
      </c>
      <c r="E14" s="169">
        <f t="shared" ref="E14:J14" si="2">E15+E16+E17+E18+E19+E21+E22</f>
        <v>10537.518</v>
      </c>
      <c r="F14" s="169">
        <f t="shared" si="2"/>
        <v>12273.545999999998</v>
      </c>
      <c r="G14" s="169">
        <f>G15+G16+G17+G18+G19+G21+G22</f>
        <v>2859.924</v>
      </c>
      <c r="H14" s="169">
        <f t="shared" si="2"/>
        <v>3148.924</v>
      </c>
      <c r="I14" s="169">
        <f>I15+I16+I17+I18+I19+I21+I22</f>
        <v>3158.23</v>
      </c>
      <c r="J14" s="169">
        <f t="shared" si="2"/>
        <v>3106.4679999999998</v>
      </c>
    </row>
    <row r="15" spans="1:10" s="2" customFormat="1" ht="34.5" customHeight="1">
      <c r="A15" s="8" t="s">
        <v>199</v>
      </c>
      <c r="B15" s="110">
        <v>1051</v>
      </c>
      <c r="C15" s="256">
        <v>2209.8000000000002</v>
      </c>
      <c r="D15" s="256">
        <v>1855.2</v>
      </c>
      <c r="E15" s="256">
        <v>1799.5</v>
      </c>
      <c r="F15" s="256">
        <f>G15+H15+I15+J15</f>
        <v>2179.8000000000002</v>
      </c>
      <c r="G15" s="256">
        <v>500</v>
      </c>
      <c r="H15" s="256">
        <v>500</v>
      </c>
      <c r="I15" s="256">
        <v>599.79999999999995</v>
      </c>
      <c r="J15" s="256">
        <v>580</v>
      </c>
    </row>
    <row r="16" spans="1:10" s="2" customFormat="1" ht="20.100000000000001" customHeight="1">
      <c r="A16" s="8" t="s">
        <v>48</v>
      </c>
      <c r="B16" s="110">
        <v>1052</v>
      </c>
      <c r="C16" s="256">
        <v>1848.7</v>
      </c>
      <c r="D16" s="256">
        <v>1368.6</v>
      </c>
      <c r="E16" s="256">
        <v>1550</v>
      </c>
      <c r="F16" s="256">
        <f>G16+H16+I16+J16</f>
        <v>2248</v>
      </c>
      <c r="G16" s="256">
        <v>500</v>
      </c>
      <c r="H16" s="256">
        <v>508</v>
      </c>
      <c r="I16" s="256">
        <v>640</v>
      </c>
      <c r="J16" s="256">
        <v>600</v>
      </c>
    </row>
    <row r="17" spans="1:10" s="2" customFormat="1" ht="20.100000000000001" customHeight="1">
      <c r="A17" s="8" t="s">
        <v>47</v>
      </c>
      <c r="B17" s="110">
        <v>1053</v>
      </c>
      <c r="C17" s="256">
        <v>94.7</v>
      </c>
      <c r="D17" s="256">
        <v>135.1</v>
      </c>
      <c r="E17" s="256">
        <v>94</v>
      </c>
      <c r="F17" s="256">
        <f>G17+H17+I17+J17</f>
        <v>100</v>
      </c>
      <c r="G17" s="256">
        <v>40</v>
      </c>
      <c r="H17" s="256">
        <v>17</v>
      </c>
      <c r="I17" s="256">
        <v>15.9</v>
      </c>
      <c r="J17" s="256">
        <v>27.1</v>
      </c>
    </row>
    <row r="18" spans="1:10" s="2" customFormat="1" ht="20.100000000000001" customHeight="1">
      <c r="A18" s="8" t="s">
        <v>23</v>
      </c>
      <c r="B18" s="110">
        <v>1054</v>
      </c>
      <c r="C18" s="256">
        <v>4027.9</v>
      </c>
      <c r="D18" s="256">
        <v>5073.1000000000004</v>
      </c>
      <c r="E18" s="256">
        <v>5306.9</v>
      </c>
      <c r="F18" s="260">
        <f>G18+H18+I18+J18</f>
        <v>5684.2999999999993</v>
      </c>
      <c r="G18" s="260">
        <v>1384.2</v>
      </c>
      <c r="H18" s="260">
        <v>1384.2</v>
      </c>
      <c r="I18" s="260">
        <v>1446.5</v>
      </c>
      <c r="J18" s="260">
        <v>1469.4</v>
      </c>
    </row>
    <row r="19" spans="1:10" s="2" customFormat="1" ht="20.100000000000001" customHeight="1">
      <c r="A19" s="8" t="s">
        <v>24</v>
      </c>
      <c r="B19" s="110">
        <v>1055</v>
      </c>
      <c r="C19" s="256">
        <v>858.6</v>
      </c>
      <c r="D19" s="256">
        <v>1116.0999999999999</v>
      </c>
      <c r="E19" s="256">
        <f t="shared" ref="E19:J19" si="3">E18*0.22</f>
        <v>1167.518</v>
      </c>
      <c r="F19" s="260">
        <f t="shared" si="3"/>
        <v>1250.5459999999998</v>
      </c>
      <c r="G19" s="260">
        <f t="shared" si="3"/>
        <v>304.524</v>
      </c>
      <c r="H19" s="260">
        <f t="shared" si="3"/>
        <v>304.524</v>
      </c>
      <c r="I19" s="260">
        <f t="shared" si="3"/>
        <v>318.23</v>
      </c>
      <c r="J19" s="260">
        <f t="shared" si="3"/>
        <v>323.26800000000003</v>
      </c>
    </row>
    <row r="20" spans="1:10" s="2" customFormat="1" ht="48" customHeight="1">
      <c r="A20" s="67" t="s">
        <v>179</v>
      </c>
      <c r="B20" s="110">
        <v>1056</v>
      </c>
      <c r="C20" s="362"/>
      <c r="D20" s="362"/>
      <c r="E20" s="362"/>
      <c r="F20" s="362"/>
      <c r="G20" s="362"/>
      <c r="H20" s="362"/>
      <c r="I20" s="362"/>
      <c r="J20" s="362"/>
    </row>
    <row r="21" spans="1:10" s="2" customFormat="1" ht="36.75" customHeight="1">
      <c r="A21" s="8" t="s">
        <v>46</v>
      </c>
      <c r="B21" s="110">
        <v>1057</v>
      </c>
      <c r="C21" s="256">
        <v>246.8</v>
      </c>
      <c r="D21" s="256">
        <v>194</v>
      </c>
      <c r="E21" s="256">
        <v>190</v>
      </c>
      <c r="F21" s="256">
        <f>G21+H21+I21+J21</f>
        <v>189.8</v>
      </c>
      <c r="G21" s="256">
        <v>56.9</v>
      </c>
      <c r="H21" s="256">
        <v>35.9</v>
      </c>
      <c r="I21" s="256">
        <v>48.5</v>
      </c>
      <c r="J21" s="256">
        <v>48.5</v>
      </c>
    </row>
    <row r="22" spans="1:10" s="2" customFormat="1" ht="20.100000000000001" customHeight="1">
      <c r="A22" s="8" t="s">
        <v>286</v>
      </c>
      <c r="B22" s="110">
        <v>1058</v>
      </c>
      <c r="C22" s="362">
        <f t="shared" ref="C22:J22" si="4">C23+C24+C25+C26+C27+C28</f>
        <v>528.5</v>
      </c>
      <c r="D22" s="362">
        <f t="shared" si="4"/>
        <v>382</v>
      </c>
      <c r="E22" s="362">
        <f t="shared" si="4"/>
        <v>429.6</v>
      </c>
      <c r="F22" s="362">
        <f t="shared" si="4"/>
        <v>621.1</v>
      </c>
      <c r="G22" s="362">
        <f t="shared" si="4"/>
        <v>74.3</v>
      </c>
      <c r="H22" s="362">
        <f t="shared" si="4"/>
        <v>399.29999999999995</v>
      </c>
      <c r="I22" s="362">
        <f t="shared" si="4"/>
        <v>89.3</v>
      </c>
      <c r="J22" s="362">
        <f t="shared" si="4"/>
        <v>58.2</v>
      </c>
    </row>
    <row r="23" spans="1:10" s="403" customFormat="1" ht="20.100000000000001" customHeight="1">
      <c r="A23" s="269" t="s">
        <v>287</v>
      </c>
      <c r="B23" s="266" t="s">
        <v>335</v>
      </c>
      <c r="C23" s="263">
        <v>134.5</v>
      </c>
      <c r="D23" s="263">
        <v>144.30000000000001</v>
      </c>
      <c r="E23" s="263">
        <v>120</v>
      </c>
      <c r="F23" s="263">
        <f t="shared" ref="F23:F28" si="5">G23+H23+I23+J23</f>
        <v>176.09999999999997</v>
      </c>
      <c r="G23" s="263">
        <v>20</v>
      </c>
      <c r="H23" s="263">
        <v>58.1</v>
      </c>
      <c r="I23" s="263">
        <v>59.3</v>
      </c>
      <c r="J23" s="263">
        <v>38.700000000000003</v>
      </c>
    </row>
    <row r="24" spans="1:10" s="403" customFormat="1" ht="20.100000000000001" customHeight="1">
      <c r="A24" s="269" t="s">
        <v>288</v>
      </c>
      <c r="B24" s="266" t="s">
        <v>336</v>
      </c>
      <c r="C24" s="263">
        <v>4.8</v>
      </c>
      <c r="D24" s="263">
        <v>4.8</v>
      </c>
      <c r="E24" s="263">
        <v>5</v>
      </c>
      <c r="F24" s="263">
        <f t="shared" si="5"/>
        <v>6.5</v>
      </c>
      <c r="G24" s="263">
        <v>1.3</v>
      </c>
      <c r="H24" s="263">
        <v>1.4</v>
      </c>
      <c r="I24" s="263">
        <v>1.2</v>
      </c>
      <c r="J24" s="263">
        <v>2.6</v>
      </c>
    </row>
    <row r="25" spans="1:10" s="403" customFormat="1" ht="20.100000000000001" customHeight="1">
      <c r="A25" s="269" t="s">
        <v>289</v>
      </c>
      <c r="B25" s="266" t="s">
        <v>337</v>
      </c>
      <c r="C25" s="263">
        <v>133.30000000000001</v>
      </c>
      <c r="D25" s="263">
        <v>140</v>
      </c>
      <c r="E25" s="263">
        <v>204.6</v>
      </c>
      <c r="F25" s="263">
        <f t="shared" si="5"/>
        <v>300</v>
      </c>
      <c r="G25" s="263">
        <v>0</v>
      </c>
      <c r="H25" s="263">
        <v>300</v>
      </c>
      <c r="I25" s="263">
        <v>0</v>
      </c>
      <c r="J25" s="263">
        <v>0</v>
      </c>
    </row>
    <row r="26" spans="1:10" s="403" customFormat="1" ht="20.100000000000001" customHeight="1">
      <c r="A26" s="269" t="s">
        <v>290</v>
      </c>
      <c r="B26" s="266" t="s">
        <v>338</v>
      </c>
      <c r="C26" s="263">
        <v>19</v>
      </c>
      <c r="D26" s="263">
        <v>38</v>
      </c>
      <c r="E26" s="263">
        <v>38</v>
      </c>
      <c r="F26" s="263">
        <f t="shared" si="5"/>
        <v>56.2</v>
      </c>
      <c r="G26" s="263">
        <v>1</v>
      </c>
      <c r="H26" s="263">
        <v>30.4</v>
      </c>
      <c r="I26" s="263">
        <v>23.8</v>
      </c>
      <c r="J26" s="263">
        <v>1</v>
      </c>
    </row>
    <row r="27" spans="1:10" s="403" customFormat="1" ht="20.100000000000001" customHeight="1">
      <c r="A27" s="269" t="s">
        <v>291</v>
      </c>
      <c r="B27" s="266" t="s">
        <v>339</v>
      </c>
      <c r="C27" s="263">
        <v>20.2</v>
      </c>
      <c r="D27" s="263">
        <v>34.9</v>
      </c>
      <c r="E27" s="263">
        <v>40</v>
      </c>
      <c r="F27" s="263">
        <f t="shared" si="5"/>
        <v>49.1</v>
      </c>
      <c r="G27" s="263">
        <v>41.5</v>
      </c>
      <c r="H27" s="263">
        <v>0.4</v>
      </c>
      <c r="I27" s="263">
        <v>0</v>
      </c>
      <c r="J27" s="263">
        <v>7.2</v>
      </c>
    </row>
    <row r="28" spans="1:10" s="403" customFormat="1" ht="20.100000000000001" customHeight="1">
      <c r="A28" s="269" t="s">
        <v>243</v>
      </c>
      <c r="B28" s="266" t="s">
        <v>340</v>
      </c>
      <c r="C28" s="263">
        <v>216.7</v>
      </c>
      <c r="D28" s="263">
        <v>20</v>
      </c>
      <c r="E28" s="263">
        <v>22</v>
      </c>
      <c r="F28" s="263">
        <f t="shared" si="5"/>
        <v>33.200000000000003</v>
      </c>
      <c r="G28" s="263">
        <v>10.5</v>
      </c>
      <c r="H28" s="263">
        <v>9</v>
      </c>
      <c r="I28" s="263">
        <v>5</v>
      </c>
      <c r="J28" s="263">
        <v>8.6999999999999993</v>
      </c>
    </row>
    <row r="29" spans="1:10" s="76" customFormat="1" ht="49.5" customHeight="1">
      <c r="A29" s="75" t="s">
        <v>303</v>
      </c>
      <c r="B29" s="151">
        <v>1060</v>
      </c>
      <c r="C29" s="167">
        <f t="shared" ref="C29:J29" si="6">C13-C14</f>
        <v>2199</v>
      </c>
      <c r="D29" s="167">
        <f t="shared" si="6"/>
        <v>2838</v>
      </c>
      <c r="E29" s="167">
        <f t="shared" si="6"/>
        <v>2872.8819999999996</v>
      </c>
      <c r="F29" s="167">
        <f t="shared" si="6"/>
        <v>2943.4540000000015</v>
      </c>
      <c r="G29" s="167">
        <f>G13-G14</f>
        <v>783.3760000000002</v>
      </c>
      <c r="H29" s="167">
        <f t="shared" si="6"/>
        <v>703.07600000000002</v>
      </c>
      <c r="I29" s="167">
        <f t="shared" si="6"/>
        <v>704.77</v>
      </c>
      <c r="J29" s="167">
        <f t="shared" si="6"/>
        <v>752.23199999999997</v>
      </c>
    </row>
    <row r="30" spans="1:10" ht="20.100000000000001" customHeight="1">
      <c r="A30" s="113"/>
      <c r="B30" s="149">
        <v>1070</v>
      </c>
      <c r="C30" s="150"/>
      <c r="D30" s="150"/>
      <c r="E30" s="150"/>
      <c r="F30" s="150"/>
      <c r="G30" s="150"/>
      <c r="H30" s="150"/>
      <c r="I30" s="150"/>
      <c r="J30" s="150"/>
    </row>
    <row r="31" spans="1:10" ht="20.100000000000001" customHeight="1">
      <c r="A31" s="9" t="s">
        <v>168</v>
      </c>
      <c r="B31" s="149">
        <v>1080</v>
      </c>
      <c r="C31" s="122">
        <f>SUM(C32:C53)</f>
        <v>1491.4</v>
      </c>
      <c r="D31" s="122">
        <f>D32+D36+D38+D39+D40+D41+D43+D53+D51</f>
        <v>1965.0000000000002</v>
      </c>
      <c r="E31" s="122">
        <f>E32+E38+E39+E40+E41+E43+E53+E36+E51</f>
        <v>1976.6220000000001</v>
      </c>
      <c r="F31" s="122">
        <f>F32+F38+F39+F40+F41+F43+F53+F36</f>
        <v>1930.864</v>
      </c>
      <c r="G31" s="122">
        <f>G32+G38+G39+G40+G41+G43+G53+G36</f>
        <v>506.404</v>
      </c>
      <c r="H31" s="122">
        <f>H32+H38+H39+H40+H41+H43+H53</f>
        <v>462.00400000000002</v>
      </c>
      <c r="I31" s="122">
        <f>I32+I38+I39+I40+I41+I43+I53+I51</f>
        <v>474.8060000000001</v>
      </c>
      <c r="J31" s="122">
        <f>J32+J38+J39+J40+J41+J43+J53+J36</f>
        <v>487.65000000000003</v>
      </c>
    </row>
    <row r="32" spans="1:10" s="255" customFormat="1" ht="34.5" customHeight="1">
      <c r="A32" s="8" t="s">
        <v>83</v>
      </c>
      <c r="B32" s="110">
        <v>1081</v>
      </c>
      <c r="C32" s="144">
        <v>161.19999999999999</v>
      </c>
      <c r="D32" s="144">
        <v>133.6</v>
      </c>
      <c r="E32" s="362">
        <v>150.4</v>
      </c>
      <c r="F32" s="362">
        <f>G32+H32+I32+J32</f>
        <v>159.9</v>
      </c>
      <c r="G32" s="362">
        <v>39.9</v>
      </c>
      <c r="H32" s="362">
        <v>40</v>
      </c>
      <c r="I32" s="362">
        <v>40</v>
      </c>
      <c r="J32" s="362">
        <v>40</v>
      </c>
    </row>
    <row r="33" spans="1:10" s="255" customFormat="1" ht="21.75" customHeight="1">
      <c r="A33" s="8" t="s">
        <v>158</v>
      </c>
      <c r="B33" s="110">
        <v>1082</v>
      </c>
      <c r="C33" s="144"/>
      <c r="D33" s="144"/>
      <c r="E33" s="362"/>
      <c r="F33" s="362"/>
      <c r="G33" s="263"/>
      <c r="H33" s="263"/>
      <c r="I33" s="263"/>
      <c r="J33" s="263"/>
    </row>
    <row r="34" spans="1:10" s="255" customFormat="1" ht="20.100000000000001" customHeight="1">
      <c r="A34" s="8" t="s">
        <v>45</v>
      </c>
      <c r="B34" s="110">
        <v>1083</v>
      </c>
      <c r="C34" s="144"/>
      <c r="D34" s="144"/>
      <c r="E34" s="362"/>
      <c r="F34" s="362"/>
      <c r="G34" s="263"/>
      <c r="H34" s="263"/>
      <c r="I34" s="263"/>
      <c r="J34" s="263"/>
    </row>
    <row r="35" spans="1:10" s="255" customFormat="1" ht="20.100000000000001" customHeight="1">
      <c r="A35" s="8" t="s">
        <v>7</v>
      </c>
      <c r="B35" s="110">
        <v>1084</v>
      </c>
      <c r="C35" s="144"/>
      <c r="D35" s="144"/>
      <c r="E35" s="362"/>
      <c r="F35" s="362"/>
      <c r="G35" s="263"/>
      <c r="H35" s="263"/>
      <c r="I35" s="263"/>
      <c r="J35" s="263"/>
    </row>
    <row r="36" spans="1:10" s="255" customFormat="1" ht="20.100000000000001" customHeight="1">
      <c r="A36" s="8" t="s">
        <v>8</v>
      </c>
      <c r="B36" s="110">
        <v>1085</v>
      </c>
      <c r="C36" s="144"/>
      <c r="D36" s="362">
        <v>50</v>
      </c>
      <c r="E36" s="362">
        <v>50</v>
      </c>
      <c r="F36" s="362">
        <v>50</v>
      </c>
      <c r="G36" s="362">
        <v>50</v>
      </c>
      <c r="H36" s="362">
        <v>0</v>
      </c>
      <c r="I36" s="362">
        <v>0</v>
      </c>
      <c r="J36" s="362">
        <v>0</v>
      </c>
    </row>
    <row r="37" spans="1:10" s="2" customFormat="1" ht="20.100000000000001" customHeight="1">
      <c r="A37" s="8" t="s">
        <v>21</v>
      </c>
      <c r="B37" s="110">
        <v>1086</v>
      </c>
      <c r="C37" s="362"/>
      <c r="D37" s="362"/>
      <c r="E37" s="362"/>
      <c r="F37" s="362"/>
      <c r="G37" s="362"/>
      <c r="H37" s="362"/>
      <c r="I37" s="362"/>
      <c r="J37" s="362"/>
    </row>
    <row r="38" spans="1:10" s="2" customFormat="1" ht="20.100000000000001" customHeight="1">
      <c r="A38" s="8" t="s">
        <v>22</v>
      </c>
      <c r="B38" s="110">
        <v>1087</v>
      </c>
      <c r="C38" s="362">
        <v>13.8</v>
      </c>
      <c r="D38" s="362">
        <v>14.4</v>
      </c>
      <c r="E38" s="362">
        <v>12</v>
      </c>
      <c r="F38" s="362">
        <f>G38+H38+I38+J38</f>
        <v>14.4</v>
      </c>
      <c r="G38" s="362">
        <v>3.6</v>
      </c>
      <c r="H38" s="362">
        <v>3.6</v>
      </c>
      <c r="I38" s="362">
        <v>3.6</v>
      </c>
      <c r="J38" s="362">
        <v>3.6</v>
      </c>
    </row>
    <row r="39" spans="1:10" s="2" customFormat="1" ht="20.100000000000001" customHeight="1">
      <c r="A39" s="8" t="s">
        <v>23</v>
      </c>
      <c r="B39" s="110">
        <v>1088</v>
      </c>
      <c r="C39" s="362">
        <v>977.1</v>
      </c>
      <c r="D39" s="362">
        <v>1220.5</v>
      </c>
      <c r="E39" s="362">
        <v>1225.0999999999999</v>
      </c>
      <c r="F39" s="263">
        <f>G39+H39+I39+J39</f>
        <v>1286.2</v>
      </c>
      <c r="G39" s="263">
        <v>313.2</v>
      </c>
      <c r="H39" s="263">
        <v>313.2</v>
      </c>
      <c r="I39" s="263">
        <v>327.3</v>
      </c>
      <c r="J39" s="263">
        <v>332.5</v>
      </c>
    </row>
    <row r="40" spans="1:10" s="2" customFormat="1" ht="20.100000000000001" customHeight="1">
      <c r="A40" s="8" t="s">
        <v>24</v>
      </c>
      <c r="B40" s="110">
        <v>1089</v>
      </c>
      <c r="C40" s="362">
        <v>225.9</v>
      </c>
      <c r="D40" s="362">
        <v>268.5</v>
      </c>
      <c r="E40" s="362">
        <f t="shared" ref="E40:J40" si="7">E39*0.22</f>
        <v>269.52199999999999</v>
      </c>
      <c r="F40" s="263">
        <f t="shared" si="7"/>
        <v>282.964</v>
      </c>
      <c r="G40" s="263">
        <f t="shared" si="7"/>
        <v>68.903999999999996</v>
      </c>
      <c r="H40" s="263">
        <f t="shared" si="7"/>
        <v>68.903999999999996</v>
      </c>
      <c r="I40" s="263">
        <f t="shared" si="7"/>
        <v>72.006</v>
      </c>
      <c r="J40" s="263">
        <f t="shared" si="7"/>
        <v>73.150000000000006</v>
      </c>
    </row>
    <row r="41" spans="1:10" s="2" customFormat="1" ht="42" customHeight="1">
      <c r="A41" s="67" t="s">
        <v>25</v>
      </c>
      <c r="B41" s="110">
        <v>1090</v>
      </c>
      <c r="C41" s="362">
        <v>4.2</v>
      </c>
      <c r="D41" s="362">
        <v>4.4000000000000004</v>
      </c>
      <c r="E41" s="362">
        <v>4.4000000000000004</v>
      </c>
      <c r="F41" s="362">
        <f>G41+H41+I41+J41</f>
        <v>4.4000000000000004</v>
      </c>
      <c r="G41" s="362">
        <v>1.1000000000000001</v>
      </c>
      <c r="H41" s="362">
        <v>1.1000000000000001</v>
      </c>
      <c r="I41" s="362">
        <v>1.1000000000000001</v>
      </c>
      <c r="J41" s="362">
        <v>1.1000000000000001</v>
      </c>
    </row>
    <row r="42" spans="1:10" s="2" customFormat="1" ht="49.5" customHeight="1">
      <c r="A42" s="67" t="s">
        <v>26</v>
      </c>
      <c r="B42" s="110">
        <v>1091</v>
      </c>
      <c r="C42" s="362"/>
      <c r="D42" s="362"/>
      <c r="E42" s="362"/>
      <c r="F42" s="362"/>
      <c r="G42" s="362"/>
      <c r="H42" s="362"/>
      <c r="I42" s="362"/>
      <c r="J42" s="362"/>
    </row>
    <row r="43" spans="1:10" s="2" customFormat="1" ht="36.75" customHeight="1">
      <c r="A43" s="8" t="s">
        <v>27</v>
      </c>
      <c r="B43" s="110">
        <v>1092</v>
      </c>
      <c r="C43" s="362">
        <v>0</v>
      </c>
      <c r="D43" s="362">
        <v>16</v>
      </c>
      <c r="E43" s="362">
        <v>8</v>
      </c>
      <c r="F43" s="362">
        <f>G43+H43+I43+J43</f>
        <v>16</v>
      </c>
      <c r="G43" s="362">
        <v>4</v>
      </c>
      <c r="H43" s="362">
        <v>4</v>
      </c>
      <c r="I43" s="362">
        <v>4</v>
      </c>
      <c r="J43" s="362">
        <v>4</v>
      </c>
    </row>
    <row r="44" spans="1:10" s="2" customFormat="1" ht="31.5" customHeight="1">
      <c r="A44" s="67" t="s">
        <v>28</v>
      </c>
      <c r="B44" s="110">
        <v>1093</v>
      </c>
      <c r="C44" s="362"/>
      <c r="D44" s="362"/>
      <c r="E44" s="362"/>
      <c r="F44" s="362"/>
      <c r="G44" s="362"/>
      <c r="H44" s="362"/>
      <c r="I44" s="362"/>
      <c r="J44" s="362"/>
    </row>
    <row r="45" spans="1:10" s="2" customFormat="1" ht="20.100000000000001" customHeight="1">
      <c r="A45" s="67" t="s">
        <v>29</v>
      </c>
      <c r="B45" s="110">
        <v>1094</v>
      </c>
      <c r="C45" s="362"/>
      <c r="D45" s="362"/>
      <c r="E45" s="362"/>
      <c r="F45" s="362"/>
      <c r="G45" s="362"/>
      <c r="H45" s="362"/>
      <c r="I45" s="362"/>
      <c r="J45" s="362"/>
    </row>
    <row r="46" spans="1:10" s="2" customFormat="1" ht="20.100000000000001" customHeight="1">
      <c r="A46" s="67" t="s">
        <v>49</v>
      </c>
      <c r="B46" s="110">
        <v>1095</v>
      </c>
      <c r="C46" s="362"/>
      <c r="D46" s="362"/>
      <c r="E46" s="362"/>
      <c r="F46" s="362"/>
      <c r="G46" s="362"/>
      <c r="H46" s="362"/>
      <c r="I46" s="362"/>
      <c r="J46" s="362"/>
    </row>
    <row r="47" spans="1:10" s="2" customFormat="1" ht="20.100000000000001" customHeight="1">
      <c r="A47" s="67" t="s">
        <v>30</v>
      </c>
      <c r="B47" s="110">
        <v>1096</v>
      </c>
      <c r="C47" s="362"/>
      <c r="D47" s="362"/>
      <c r="E47" s="362"/>
      <c r="F47" s="362"/>
      <c r="G47" s="362"/>
      <c r="H47" s="362"/>
      <c r="I47" s="362"/>
      <c r="J47" s="362"/>
    </row>
    <row r="48" spans="1:10" s="2" customFormat="1" ht="20.100000000000001" customHeight="1">
      <c r="A48" s="67" t="s">
        <v>31</v>
      </c>
      <c r="B48" s="110">
        <v>1097</v>
      </c>
      <c r="C48" s="362"/>
      <c r="D48" s="362"/>
      <c r="E48" s="362"/>
      <c r="F48" s="362"/>
      <c r="G48" s="362"/>
      <c r="H48" s="362"/>
      <c r="I48" s="362"/>
      <c r="J48" s="362"/>
    </row>
    <row r="49" spans="1:10" s="2" customFormat="1" ht="33.75" customHeight="1">
      <c r="A49" s="67" t="s">
        <v>32</v>
      </c>
      <c r="B49" s="110">
        <v>1098</v>
      </c>
      <c r="C49" s="362"/>
      <c r="D49" s="362"/>
      <c r="E49" s="362"/>
      <c r="F49" s="362"/>
      <c r="G49" s="362"/>
      <c r="H49" s="362"/>
      <c r="I49" s="362"/>
      <c r="J49" s="362"/>
    </row>
    <row r="50" spans="1:10" s="2" customFormat="1" ht="29.25" customHeight="1">
      <c r="A50" s="67" t="s">
        <v>33</v>
      </c>
      <c r="B50" s="110">
        <v>1099</v>
      </c>
      <c r="C50" s="362"/>
      <c r="D50" s="362"/>
      <c r="E50" s="362"/>
      <c r="F50" s="362"/>
      <c r="G50" s="362"/>
      <c r="H50" s="362"/>
      <c r="I50" s="362"/>
      <c r="J50" s="362"/>
    </row>
    <row r="51" spans="1:10" s="2" customFormat="1" ht="46.5" customHeight="1">
      <c r="A51" s="67" t="s">
        <v>57</v>
      </c>
      <c r="B51" s="110">
        <v>1100</v>
      </c>
      <c r="C51" s="362"/>
      <c r="D51" s="362">
        <v>156.69999999999999</v>
      </c>
      <c r="E51" s="362">
        <v>154</v>
      </c>
      <c r="F51" s="362">
        <f>F52</f>
        <v>0</v>
      </c>
      <c r="G51" s="362">
        <v>0</v>
      </c>
      <c r="H51" s="362">
        <v>0</v>
      </c>
      <c r="I51" s="362">
        <v>0</v>
      </c>
      <c r="J51" s="362">
        <v>0</v>
      </c>
    </row>
    <row r="52" spans="1:10" s="2" customFormat="1" ht="31.5">
      <c r="A52" s="67" t="s">
        <v>375</v>
      </c>
      <c r="B52" s="110">
        <v>1101</v>
      </c>
      <c r="C52" s="362"/>
      <c r="D52" s="362">
        <v>156.69999999999999</v>
      </c>
      <c r="E52" s="362">
        <v>154</v>
      </c>
      <c r="F52" s="362">
        <f>I52+J52</f>
        <v>0</v>
      </c>
      <c r="G52" s="362">
        <v>0</v>
      </c>
      <c r="H52" s="362">
        <v>0</v>
      </c>
      <c r="I52" s="362">
        <v>0</v>
      </c>
      <c r="J52" s="362">
        <v>0</v>
      </c>
    </row>
    <row r="53" spans="1:10" s="2" customFormat="1" ht="30.75" customHeight="1">
      <c r="A53" s="67" t="s">
        <v>281</v>
      </c>
      <c r="B53" s="110">
        <v>1102</v>
      </c>
      <c r="C53" s="362">
        <f>C54+C55+C56+C57+C58+C60+C59+C61</f>
        <v>109.19999999999999</v>
      </c>
      <c r="D53" s="362">
        <f>D55+D56+D57+D58+D59+D60+D61+D54</f>
        <v>100.9</v>
      </c>
      <c r="E53" s="362">
        <f t="shared" ref="E53:J53" si="8">E54+E55+E56+E57+E58+E59+E60+E61</f>
        <v>103.2</v>
      </c>
      <c r="F53" s="362">
        <f t="shared" si="8"/>
        <v>117</v>
      </c>
      <c r="G53" s="362">
        <f t="shared" si="8"/>
        <v>25.7</v>
      </c>
      <c r="H53" s="362">
        <f t="shared" si="8"/>
        <v>31.2</v>
      </c>
      <c r="I53" s="362">
        <f t="shared" si="8"/>
        <v>26.8</v>
      </c>
      <c r="J53" s="362">
        <f t="shared" si="8"/>
        <v>33.299999999999997</v>
      </c>
    </row>
    <row r="54" spans="1:10" s="403" customFormat="1" ht="20.100000000000001" customHeight="1">
      <c r="A54" s="143" t="s">
        <v>271</v>
      </c>
      <c r="B54" s="279"/>
      <c r="C54" s="263">
        <v>0.8</v>
      </c>
      <c r="D54" s="263">
        <v>0</v>
      </c>
      <c r="E54" s="263">
        <v>0</v>
      </c>
      <c r="F54" s="263">
        <v>0</v>
      </c>
      <c r="G54" s="263">
        <v>0</v>
      </c>
      <c r="H54" s="263">
        <v>0</v>
      </c>
      <c r="I54" s="263">
        <v>0</v>
      </c>
      <c r="J54" s="263">
        <v>0</v>
      </c>
    </row>
    <row r="55" spans="1:10" s="403" customFormat="1" ht="20.100000000000001" customHeight="1">
      <c r="A55" s="143" t="s">
        <v>47</v>
      </c>
      <c r="B55" s="279"/>
      <c r="C55" s="263">
        <v>36.700000000000003</v>
      </c>
      <c r="D55" s="263">
        <v>38.6</v>
      </c>
      <c r="E55" s="263">
        <v>26</v>
      </c>
      <c r="F55" s="263">
        <f>G55+H55+I55+J55</f>
        <v>28.799999999999997</v>
      </c>
      <c r="G55" s="263">
        <v>5.4</v>
      </c>
      <c r="H55" s="263">
        <v>8.6</v>
      </c>
      <c r="I55" s="263">
        <v>5.4</v>
      </c>
      <c r="J55" s="263">
        <v>9.4</v>
      </c>
    </row>
    <row r="56" spans="1:10" s="403" customFormat="1" ht="20.100000000000001" customHeight="1">
      <c r="A56" s="143" t="s">
        <v>273</v>
      </c>
      <c r="B56" s="279"/>
      <c r="C56" s="263">
        <v>3.5</v>
      </c>
      <c r="D56" s="263">
        <v>5.2</v>
      </c>
      <c r="E56" s="263">
        <v>1</v>
      </c>
      <c r="F56" s="263">
        <f>G56+H56+I56+J56</f>
        <v>1.7000000000000002</v>
      </c>
      <c r="G56" s="263">
        <v>0.5</v>
      </c>
      <c r="H56" s="263">
        <v>0.3</v>
      </c>
      <c r="I56" s="263">
        <v>0.3</v>
      </c>
      <c r="J56" s="263">
        <v>0.6</v>
      </c>
    </row>
    <row r="57" spans="1:10" s="403" customFormat="1" ht="20.100000000000001" customHeight="1">
      <c r="A57" s="143" t="s">
        <v>272</v>
      </c>
      <c r="B57" s="279"/>
      <c r="C57" s="263">
        <v>3.4</v>
      </c>
      <c r="D57" s="263">
        <v>3.3</v>
      </c>
      <c r="E57" s="263">
        <v>3.6</v>
      </c>
      <c r="F57" s="263">
        <f>G57+H57+I57+J57</f>
        <v>4</v>
      </c>
      <c r="G57" s="263">
        <v>1</v>
      </c>
      <c r="H57" s="263">
        <v>1</v>
      </c>
      <c r="I57" s="263">
        <v>1</v>
      </c>
      <c r="J57" s="263">
        <v>1</v>
      </c>
    </row>
    <row r="58" spans="1:10" s="403" customFormat="1" ht="20.100000000000001" customHeight="1">
      <c r="A58" s="143" t="s">
        <v>274</v>
      </c>
      <c r="B58" s="279"/>
      <c r="C58" s="263">
        <v>0</v>
      </c>
      <c r="D58" s="263">
        <v>0</v>
      </c>
      <c r="E58" s="263">
        <v>0</v>
      </c>
      <c r="F58" s="263">
        <v>0</v>
      </c>
      <c r="G58" s="263">
        <v>0</v>
      </c>
      <c r="H58" s="263">
        <v>0</v>
      </c>
      <c r="I58" s="263">
        <v>0</v>
      </c>
      <c r="J58" s="263">
        <v>0</v>
      </c>
    </row>
    <row r="59" spans="1:10" s="403" customFormat="1" ht="20.100000000000001" customHeight="1">
      <c r="A59" s="143" t="s">
        <v>276</v>
      </c>
      <c r="B59" s="279"/>
      <c r="C59" s="263">
        <v>11.8</v>
      </c>
      <c r="D59" s="263">
        <v>18.399999999999999</v>
      </c>
      <c r="E59" s="263">
        <v>14</v>
      </c>
      <c r="F59" s="263">
        <f>G59+H59+I59+J59</f>
        <v>18.399999999999999</v>
      </c>
      <c r="G59" s="263">
        <v>4.5999999999999996</v>
      </c>
      <c r="H59" s="263">
        <v>4.5999999999999996</v>
      </c>
      <c r="I59" s="263">
        <v>4.5999999999999996</v>
      </c>
      <c r="J59" s="263">
        <v>4.5999999999999996</v>
      </c>
    </row>
    <row r="60" spans="1:10" s="403" customFormat="1" ht="20.100000000000001" customHeight="1">
      <c r="A60" s="143" t="s">
        <v>275</v>
      </c>
      <c r="B60" s="279"/>
      <c r="C60" s="263">
        <v>16.399999999999999</v>
      </c>
      <c r="D60" s="263">
        <v>19.399999999999999</v>
      </c>
      <c r="E60" s="263">
        <v>20.6</v>
      </c>
      <c r="F60" s="263">
        <f>G60+H60+I60+J60</f>
        <v>24.099999999999998</v>
      </c>
      <c r="G60" s="263">
        <v>4.2</v>
      </c>
      <c r="H60" s="263">
        <v>6.7</v>
      </c>
      <c r="I60" s="263">
        <v>5.5</v>
      </c>
      <c r="J60" s="263">
        <v>7.7</v>
      </c>
    </row>
    <row r="61" spans="1:10" s="403" customFormat="1" ht="20.100000000000001" customHeight="1">
      <c r="A61" s="143" t="s">
        <v>373</v>
      </c>
      <c r="B61" s="279"/>
      <c r="C61" s="263">
        <v>36.6</v>
      </c>
      <c r="D61" s="263">
        <v>16</v>
      </c>
      <c r="E61" s="263">
        <v>38</v>
      </c>
      <c r="F61" s="263">
        <f>G61+H61+I61+J61</f>
        <v>40</v>
      </c>
      <c r="G61" s="263">
        <v>10</v>
      </c>
      <c r="H61" s="263">
        <v>10</v>
      </c>
      <c r="I61" s="263">
        <v>10</v>
      </c>
      <c r="J61" s="263">
        <v>10</v>
      </c>
    </row>
    <row r="62" spans="1:10" ht="20.100000000000001" customHeight="1">
      <c r="A62" s="113" t="s">
        <v>169</v>
      </c>
      <c r="B62" s="149">
        <v>1110</v>
      </c>
      <c r="C62" s="122">
        <f t="shared" ref="C62:J62" si="9">SUM(C63:C69)</f>
        <v>553.79999999999995</v>
      </c>
      <c r="D62" s="122">
        <f t="shared" si="9"/>
        <v>722.90000000000009</v>
      </c>
      <c r="E62" s="122">
        <f t="shared" si="9"/>
        <v>737.04000000000008</v>
      </c>
      <c r="F62" s="122">
        <f t="shared" si="9"/>
        <v>851.4</v>
      </c>
      <c r="G62" s="122">
        <f>SUM(G63:G69)</f>
        <v>236.654</v>
      </c>
      <c r="H62" s="122">
        <f t="shared" si="9"/>
        <v>200.75400000000002</v>
      </c>
      <c r="I62" s="122">
        <f t="shared" si="9"/>
        <v>189.63199999999998</v>
      </c>
      <c r="J62" s="122">
        <f t="shared" si="9"/>
        <v>224.30599999999998</v>
      </c>
    </row>
    <row r="63" spans="1:10" s="2" customFormat="1" ht="20.100000000000001" customHeight="1">
      <c r="A63" s="67" t="s">
        <v>139</v>
      </c>
      <c r="B63" s="110">
        <v>1111</v>
      </c>
      <c r="C63" s="362"/>
      <c r="D63" s="362"/>
      <c r="E63" s="362"/>
      <c r="F63" s="362"/>
      <c r="G63" s="362"/>
      <c r="H63" s="362"/>
      <c r="I63" s="362"/>
      <c r="J63" s="362"/>
    </row>
    <row r="64" spans="1:10" s="2" customFormat="1" ht="20.100000000000001" customHeight="1">
      <c r="A64" s="67" t="s">
        <v>140</v>
      </c>
      <c r="B64" s="110">
        <v>1112</v>
      </c>
      <c r="C64" s="362"/>
      <c r="D64" s="362"/>
      <c r="E64" s="362"/>
      <c r="F64" s="362"/>
      <c r="G64" s="362"/>
      <c r="H64" s="362"/>
      <c r="I64" s="362"/>
      <c r="J64" s="362"/>
    </row>
    <row r="65" spans="1:10" s="2" customFormat="1" ht="20.100000000000001" customHeight="1">
      <c r="A65" s="67" t="s">
        <v>23</v>
      </c>
      <c r="B65" s="110">
        <v>1113</v>
      </c>
      <c r="C65" s="362">
        <v>290</v>
      </c>
      <c r="D65" s="362">
        <v>371.8</v>
      </c>
      <c r="E65" s="362">
        <v>372</v>
      </c>
      <c r="F65" s="263">
        <f>G65+H65+I65+J65</f>
        <v>454.3</v>
      </c>
      <c r="G65" s="263">
        <v>110.7</v>
      </c>
      <c r="H65" s="263">
        <v>110.7</v>
      </c>
      <c r="I65" s="263">
        <v>115.6</v>
      </c>
      <c r="J65" s="263">
        <v>117.3</v>
      </c>
    </row>
    <row r="66" spans="1:10" s="403" customFormat="1" ht="20.100000000000001" customHeight="1">
      <c r="A66" s="143" t="s">
        <v>270</v>
      </c>
      <c r="B66" s="266" t="s">
        <v>350</v>
      </c>
      <c r="C66" s="263">
        <v>59</v>
      </c>
      <c r="D66" s="263">
        <v>81.8</v>
      </c>
      <c r="E66" s="263">
        <f>E65*0.22</f>
        <v>81.84</v>
      </c>
      <c r="F66" s="263">
        <v>100</v>
      </c>
      <c r="G66" s="263">
        <f>G65*0.22</f>
        <v>24.353999999999999</v>
      </c>
      <c r="H66" s="263">
        <f>H65*0.22</f>
        <v>24.353999999999999</v>
      </c>
      <c r="I66" s="263">
        <f>I65*0.22</f>
        <v>25.431999999999999</v>
      </c>
      <c r="J66" s="263">
        <f>J65*0.22</f>
        <v>25.806000000000001</v>
      </c>
    </row>
    <row r="67" spans="1:10" s="2" customFormat="1" ht="35.25" customHeight="1">
      <c r="A67" s="67" t="s">
        <v>46</v>
      </c>
      <c r="B67" s="110">
        <v>1114</v>
      </c>
      <c r="C67" s="362">
        <v>2</v>
      </c>
      <c r="D67" s="362">
        <v>100</v>
      </c>
      <c r="E67" s="362">
        <v>100</v>
      </c>
      <c r="F67" s="362">
        <f>G67+H67+I67+J67</f>
        <v>100</v>
      </c>
      <c r="G67" s="362">
        <v>25</v>
      </c>
      <c r="H67" s="362">
        <v>25</v>
      </c>
      <c r="I67" s="362">
        <v>25</v>
      </c>
      <c r="J67" s="362">
        <v>25</v>
      </c>
    </row>
    <row r="68" spans="1:10" s="2" customFormat="1" ht="20.100000000000001" customHeight="1">
      <c r="A68" s="67" t="s">
        <v>60</v>
      </c>
      <c r="B68" s="110">
        <v>1115</v>
      </c>
      <c r="C68" s="362"/>
      <c r="D68" s="362"/>
      <c r="E68" s="362"/>
      <c r="F68" s="362"/>
      <c r="G68" s="362"/>
      <c r="H68" s="362"/>
      <c r="I68" s="362"/>
      <c r="J68" s="362"/>
    </row>
    <row r="69" spans="1:10" s="2" customFormat="1" ht="20.100000000000001" customHeight="1">
      <c r="A69" s="67" t="s">
        <v>280</v>
      </c>
      <c r="B69" s="110">
        <v>1116</v>
      </c>
      <c r="C69" s="362">
        <v>202.8</v>
      </c>
      <c r="D69" s="362">
        <f t="shared" ref="D69:J69" si="10">D70+D71+D72+D73+D74+D75+D76+D77+D78</f>
        <v>169.3</v>
      </c>
      <c r="E69" s="362">
        <f t="shared" si="10"/>
        <v>183.20000000000002</v>
      </c>
      <c r="F69" s="362">
        <f t="shared" si="10"/>
        <v>197.1</v>
      </c>
      <c r="G69" s="362">
        <f t="shared" si="10"/>
        <v>76.600000000000009</v>
      </c>
      <c r="H69" s="362">
        <f t="shared" si="10"/>
        <v>40.700000000000003</v>
      </c>
      <c r="I69" s="362">
        <f t="shared" si="10"/>
        <v>23.599999999999998</v>
      </c>
      <c r="J69" s="362">
        <f t="shared" si="10"/>
        <v>56.2</v>
      </c>
    </row>
    <row r="70" spans="1:10" s="403" customFormat="1" ht="20.100000000000001" customHeight="1">
      <c r="A70" s="143" t="s">
        <v>271</v>
      </c>
      <c r="B70" s="266" t="s">
        <v>341</v>
      </c>
      <c r="C70" s="263">
        <v>41.7</v>
      </c>
      <c r="D70" s="263">
        <v>23</v>
      </c>
      <c r="E70" s="263">
        <v>36.6</v>
      </c>
      <c r="F70" s="263">
        <f>G70+H70++I70+J70</f>
        <v>48.7</v>
      </c>
      <c r="G70" s="263">
        <v>34.200000000000003</v>
      </c>
      <c r="H70" s="263">
        <v>3.2</v>
      </c>
      <c r="I70" s="263">
        <v>0</v>
      </c>
      <c r="J70" s="263">
        <v>11.3</v>
      </c>
    </row>
    <row r="71" spans="1:10" s="403" customFormat="1" ht="20.100000000000001" customHeight="1">
      <c r="A71" s="143" t="s">
        <v>47</v>
      </c>
      <c r="B71" s="266" t="s">
        <v>342</v>
      </c>
      <c r="C71" s="263">
        <v>12</v>
      </c>
      <c r="D71" s="263">
        <v>13</v>
      </c>
      <c r="E71" s="263">
        <v>10</v>
      </c>
      <c r="F71" s="263">
        <f>G71+H71++I71+J71</f>
        <v>10.399999999999999</v>
      </c>
      <c r="G71" s="263">
        <v>3.1</v>
      </c>
      <c r="H71" s="263">
        <v>2</v>
      </c>
      <c r="I71" s="263">
        <v>2</v>
      </c>
      <c r="J71" s="263">
        <v>3.3</v>
      </c>
    </row>
    <row r="72" spans="1:10" s="403" customFormat="1" ht="20.100000000000001" customHeight="1">
      <c r="A72" s="143" t="s">
        <v>273</v>
      </c>
      <c r="B72" s="266" t="s">
        <v>343</v>
      </c>
      <c r="C72" s="263">
        <v>0.3</v>
      </c>
      <c r="D72" s="263">
        <v>0.4</v>
      </c>
      <c r="E72" s="263">
        <v>0.1</v>
      </c>
      <c r="F72" s="263">
        <f>G72+H72++I72+J72</f>
        <v>0.4</v>
      </c>
      <c r="G72" s="263">
        <v>0.1</v>
      </c>
      <c r="H72" s="263">
        <v>0.1</v>
      </c>
      <c r="I72" s="263">
        <v>0.1</v>
      </c>
      <c r="J72" s="263">
        <v>0.1</v>
      </c>
    </row>
    <row r="73" spans="1:10" s="403" customFormat="1" ht="20.100000000000001" customHeight="1">
      <c r="A73" s="143" t="s">
        <v>277</v>
      </c>
      <c r="B73" s="266" t="s">
        <v>344</v>
      </c>
      <c r="C73" s="263">
        <v>1.4</v>
      </c>
      <c r="D73" s="263">
        <v>1.6</v>
      </c>
      <c r="E73" s="263">
        <v>1.6</v>
      </c>
      <c r="F73" s="263">
        <f>G73+H73++I73+J73</f>
        <v>1.6</v>
      </c>
      <c r="G73" s="263">
        <v>0.4</v>
      </c>
      <c r="H73" s="263">
        <v>0.4</v>
      </c>
      <c r="I73" s="263">
        <v>0.4</v>
      </c>
      <c r="J73" s="263">
        <v>0.4</v>
      </c>
    </row>
    <row r="74" spans="1:10" s="403" customFormat="1" ht="20.100000000000001" customHeight="1">
      <c r="A74" s="143" t="s">
        <v>279</v>
      </c>
      <c r="B74" s="266" t="s">
        <v>345</v>
      </c>
      <c r="C74" s="263">
        <v>121.5</v>
      </c>
      <c r="D74" s="263">
        <v>102</v>
      </c>
      <c r="E74" s="263">
        <v>107</v>
      </c>
      <c r="F74" s="263">
        <f>G74+H74+I74+J74</f>
        <v>107.9</v>
      </c>
      <c r="G74" s="263">
        <v>32</v>
      </c>
      <c r="H74" s="263">
        <v>27.9</v>
      </c>
      <c r="I74" s="263">
        <v>14</v>
      </c>
      <c r="J74" s="263">
        <v>34</v>
      </c>
    </row>
    <row r="75" spans="1:10" s="403" customFormat="1" ht="20.100000000000001" customHeight="1">
      <c r="A75" s="143" t="s">
        <v>272</v>
      </c>
      <c r="B75" s="266" t="s">
        <v>346</v>
      </c>
      <c r="C75" s="263">
        <v>5.4</v>
      </c>
      <c r="D75" s="263">
        <v>5.6</v>
      </c>
      <c r="E75" s="263">
        <v>5</v>
      </c>
      <c r="F75" s="263">
        <f>G75+H75+I75+J75</f>
        <v>5.6</v>
      </c>
      <c r="G75" s="263">
        <v>1.4</v>
      </c>
      <c r="H75" s="263">
        <v>1.4</v>
      </c>
      <c r="I75" s="263">
        <v>1.4</v>
      </c>
      <c r="J75" s="263">
        <v>1.4</v>
      </c>
    </row>
    <row r="76" spans="1:10" s="403" customFormat="1" ht="20.100000000000001" customHeight="1">
      <c r="A76" s="143" t="s">
        <v>292</v>
      </c>
      <c r="B76" s="266" t="s">
        <v>347</v>
      </c>
      <c r="C76" s="263">
        <v>3</v>
      </c>
      <c r="D76" s="263">
        <v>4.8</v>
      </c>
      <c r="E76" s="263">
        <v>3.8</v>
      </c>
      <c r="F76" s="263">
        <f>G76+H76+I76+J76</f>
        <v>4.4000000000000004</v>
      </c>
      <c r="G76" s="263">
        <v>0.8</v>
      </c>
      <c r="H76" s="263">
        <v>1.2</v>
      </c>
      <c r="I76" s="263">
        <v>1.2</v>
      </c>
      <c r="J76" s="263">
        <v>1.2</v>
      </c>
    </row>
    <row r="77" spans="1:10" s="403" customFormat="1" ht="20.100000000000001" customHeight="1">
      <c r="A77" s="143" t="s">
        <v>293</v>
      </c>
      <c r="B77" s="266" t="s">
        <v>348</v>
      </c>
      <c r="C77" s="263">
        <v>8.5</v>
      </c>
      <c r="D77" s="263">
        <v>8</v>
      </c>
      <c r="E77" s="263">
        <v>9.1</v>
      </c>
      <c r="F77" s="263">
        <f>G77+H77+I77+J77</f>
        <v>10.1</v>
      </c>
      <c r="G77" s="263">
        <v>2.6</v>
      </c>
      <c r="H77" s="263">
        <v>2.5</v>
      </c>
      <c r="I77" s="263">
        <v>2.5</v>
      </c>
      <c r="J77" s="263">
        <v>2.5</v>
      </c>
    </row>
    <row r="78" spans="1:10" s="403" customFormat="1" ht="20.100000000000001" customHeight="1">
      <c r="A78" s="143" t="s">
        <v>151</v>
      </c>
      <c r="B78" s="266" t="s">
        <v>349</v>
      </c>
      <c r="C78" s="263">
        <v>9</v>
      </c>
      <c r="D78" s="263">
        <v>10.9</v>
      </c>
      <c r="E78" s="263">
        <v>10</v>
      </c>
      <c r="F78" s="263">
        <f>G78+H78+I78+J78</f>
        <v>8</v>
      </c>
      <c r="G78" s="263">
        <v>2</v>
      </c>
      <c r="H78" s="263">
        <v>2</v>
      </c>
      <c r="I78" s="263">
        <v>2</v>
      </c>
      <c r="J78" s="263">
        <v>2</v>
      </c>
    </row>
    <row r="79" spans="1:10" s="2" customFormat="1" ht="20.100000000000001" customHeight="1">
      <c r="A79" s="113" t="s">
        <v>278</v>
      </c>
      <c r="B79" s="149">
        <v>1120</v>
      </c>
      <c r="C79" s="122">
        <f>SUM(C80:C84)</f>
        <v>121.2</v>
      </c>
      <c r="D79" s="122">
        <f t="shared" ref="D79:J79" si="11">D84</f>
        <v>122.2</v>
      </c>
      <c r="E79" s="122">
        <f t="shared" si="11"/>
        <v>121.2</v>
      </c>
      <c r="F79" s="122">
        <f t="shared" si="11"/>
        <v>121.2</v>
      </c>
      <c r="G79" s="122">
        <f t="shared" si="11"/>
        <v>30.3</v>
      </c>
      <c r="H79" s="122">
        <f t="shared" si="11"/>
        <v>30.3</v>
      </c>
      <c r="I79" s="122">
        <f t="shared" si="11"/>
        <v>30.3</v>
      </c>
      <c r="J79" s="122">
        <f t="shared" si="11"/>
        <v>30.3</v>
      </c>
    </row>
    <row r="80" spans="1:10" s="2" customFormat="1" ht="20.100000000000001" customHeight="1">
      <c r="A80" s="67" t="s">
        <v>53</v>
      </c>
      <c r="B80" s="110">
        <v>1121</v>
      </c>
      <c r="C80" s="362"/>
      <c r="D80" s="362"/>
      <c r="E80" s="362"/>
      <c r="F80" s="362"/>
      <c r="G80" s="362"/>
      <c r="H80" s="362"/>
      <c r="I80" s="362"/>
      <c r="J80" s="362"/>
    </row>
    <row r="81" spans="1:10" s="2" customFormat="1" ht="20.100000000000001" customHeight="1">
      <c r="A81" s="67" t="s">
        <v>34</v>
      </c>
      <c r="B81" s="110">
        <v>1122</v>
      </c>
      <c r="C81" s="362"/>
      <c r="D81" s="362"/>
      <c r="E81" s="362"/>
      <c r="F81" s="362"/>
      <c r="G81" s="362"/>
      <c r="H81" s="362"/>
      <c r="I81" s="362"/>
      <c r="J81" s="362"/>
    </row>
    <row r="82" spans="1:10" s="2" customFormat="1" ht="20.100000000000001" customHeight="1">
      <c r="A82" s="67" t="s">
        <v>44</v>
      </c>
      <c r="B82" s="110">
        <v>1123</v>
      </c>
      <c r="C82" s="362"/>
      <c r="D82" s="362"/>
      <c r="E82" s="362"/>
      <c r="F82" s="362"/>
      <c r="G82" s="362"/>
      <c r="H82" s="362"/>
      <c r="I82" s="362"/>
      <c r="J82" s="362"/>
    </row>
    <row r="83" spans="1:10" s="2" customFormat="1" ht="20.100000000000001" customHeight="1">
      <c r="A83" s="67" t="s">
        <v>162</v>
      </c>
      <c r="B83" s="110">
        <v>1124</v>
      </c>
      <c r="C83" s="362"/>
      <c r="D83" s="362"/>
      <c r="E83" s="362"/>
      <c r="F83" s="362"/>
      <c r="G83" s="362"/>
      <c r="H83" s="362"/>
      <c r="I83" s="362"/>
      <c r="J83" s="362"/>
    </row>
    <row r="84" spans="1:10" s="2" customFormat="1" ht="20.100000000000001" customHeight="1">
      <c r="A84" s="67" t="s">
        <v>282</v>
      </c>
      <c r="B84" s="110">
        <v>1125</v>
      </c>
      <c r="C84" s="362">
        <f t="shared" ref="C84:J84" si="12">C85+C86+C87</f>
        <v>121.2</v>
      </c>
      <c r="D84" s="362">
        <f t="shared" si="12"/>
        <v>122.2</v>
      </c>
      <c r="E84" s="362">
        <f t="shared" si="12"/>
        <v>121.2</v>
      </c>
      <c r="F84" s="362">
        <f t="shared" si="12"/>
        <v>121.2</v>
      </c>
      <c r="G84" s="362">
        <f t="shared" si="12"/>
        <v>30.3</v>
      </c>
      <c r="H84" s="362">
        <f t="shared" si="12"/>
        <v>30.3</v>
      </c>
      <c r="I84" s="362">
        <f t="shared" si="12"/>
        <v>30.3</v>
      </c>
      <c r="J84" s="362">
        <f t="shared" si="12"/>
        <v>30.3</v>
      </c>
    </row>
    <row r="85" spans="1:10" s="403" customFormat="1" ht="20.100000000000001" customHeight="1">
      <c r="A85" s="143" t="s">
        <v>283</v>
      </c>
      <c r="B85" s="268"/>
      <c r="C85" s="263">
        <v>1.2</v>
      </c>
      <c r="D85" s="263">
        <v>1.4</v>
      </c>
      <c r="E85" s="263">
        <v>0.4</v>
      </c>
      <c r="F85" s="263">
        <f>G85+H85+I85+J85</f>
        <v>0.4</v>
      </c>
      <c r="G85" s="263">
        <v>0.1</v>
      </c>
      <c r="H85" s="263">
        <v>0.1</v>
      </c>
      <c r="I85" s="263">
        <v>0.1</v>
      </c>
      <c r="J85" s="263">
        <v>0.1</v>
      </c>
    </row>
    <row r="86" spans="1:10" s="403" customFormat="1" ht="20.100000000000001" customHeight="1">
      <c r="A86" s="143" t="s">
        <v>284</v>
      </c>
      <c r="B86" s="268"/>
      <c r="C86" s="263">
        <v>119.3</v>
      </c>
      <c r="D86" s="263">
        <v>120</v>
      </c>
      <c r="E86" s="263">
        <v>120</v>
      </c>
      <c r="F86" s="263">
        <f>G86+H86+I86+J86</f>
        <v>120</v>
      </c>
      <c r="G86" s="263">
        <v>30</v>
      </c>
      <c r="H86" s="263">
        <v>30</v>
      </c>
      <c r="I86" s="263">
        <v>30</v>
      </c>
      <c r="J86" s="263">
        <v>30</v>
      </c>
    </row>
    <row r="87" spans="1:10" s="403" customFormat="1" ht="20.100000000000001" customHeight="1">
      <c r="A87" s="143" t="s">
        <v>285</v>
      </c>
      <c r="B87" s="268"/>
      <c r="C87" s="263">
        <v>0.7</v>
      </c>
      <c r="D87" s="263">
        <v>0.8</v>
      </c>
      <c r="E87" s="263">
        <v>0.8</v>
      </c>
      <c r="F87" s="263">
        <f>G87+H87+I87+J87</f>
        <v>0.8</v>
      </c>
      <c r="G87" s="263">
        <v>0.2</v>
      </c>
      <c r="H87" s="263">
        <v>0.2</v>
      </c>
      <c r="I87" s="263">
        <v>0.2</v>
      </c>
      <c r="J87" s="263">
        <v>0.2</v>
      </c>
    </row>
    <row r="88" spans="1:10" s="76" customFormat="1" ht="44.25" customHeight="1">
      <c r="A88" s="75" t="s">
        <v>244</v>
      </c>
      <c r="B88" s="152">
        <v>1130</v>
      </c>
      <c r="C88" s="167">
        <f>C29-C31-C62-C79</f>
        <v>32.599999999999952</v>
      </c>
      <c r="D88" s="167">
        <f t="shared" ref="D88:J88" si="13">D29+D30-D31-D62-D79</f>
        <v>27.899999999999679</v>
      </c>
      <c r="E88" s="167">
        <v>38.1</v>
      </c>
      <c r="F88" s="167">
        <f>F29-F31-F62-F79</f>
        <v>39.99000000000153</v>
      </c>
      <c r="G88" s="167">
        <f t="shared" si="13"/>
        <v>10.01800000000021</v>
      </c>
      <c r="H88" s="167">
        <f t="shared" si="13"/>
        <v>10.017999999999983</v>
      </c>
      <c r="I88" s="167">
        <f>I29+I30-I31-I62-I79</f>
        <v>10.031999999999908</v>
      </c>
      <c r="J88" s="167">
        <f t="shared" si="13"/>
        <v>9.9759999999999529</v>
      </c>
    </row>
    <row r="89" spans="1:10" ht="20.100000000000001" customHeight="1">
      <c r="A89" s="113" t="s">
        <v>85</v>
      </c>
      <c r="B89" s="149">
        <v>1140</v>
      </c>
      <c r="C89" s="150"/>
      <c r="D89" s="150"/>
      <c r="E89" s="122"/>
      <c r="F89" s="122"/>
      <c r="G89" s="122"/>
      <c r="H89" s="122"/>
      <c r="I89" s="122"/>
      <c r="J89" s="122"/>
    </row>
    <row r="90" spans="1:10" ht="20.100000000000001" customHeight="1">
      <c r="A90" s="113" t="s">
        <v>86</v>
      </c>
      <c r="B90" s="149">
        <v>1150</v>
      </c>
      <c r="C90" s="122"/>
      <c r="D90" s="122"/>
      <c r="E90" s="122"/>
      <c r="F90" s="122"/>
      <c r="G90" s="122"/>
      <c r="H90" s="122"/>
      <c r="I90" s="122"/>
      <c r="J90" s="122"/>
    </row>
    <row r="91" spans="1:10" ht="20.100000000000001" customHeight="1">
      <c r="A91" s="113" t="s">
        <v>163</v>
      </c>
      <c r="B91" s="149">
        <v>1160</v>
      </c>
      <c r="C91" s="150"/>
      <c r="D91" s="150"/>
      <c r="E91" s="122"/>
      <c r="F91" s="122"/>
      <c r="G91" s="122"/>
      <c r="H91" s="122"/>
      <c r="I91" s="122"/>
      <c r="J91" s="122"/>
    </row>
    <row r="92" spans="1:10" ht="17.25" customHeight="1">
      <c r="A92" s="113" t="s">
        <v>164</v>
      </c>
      <c r="B92" s="149">
        <v>1170</v>
      </c>
      <c r="C92" s="122"/>
      <c r="D92" s="122"/>
      <c r="E92" s="122"/>
      <c r="F92" s="122"/>
      <c r="G92" s="122"/>
      <c r="H92" s="122"/>
      <c r="I92" s="122"/>
      <c r="J92" s="122"/>
    </row>
    <row r="93" spans="1:10" s="76" customFormat="1" ht="43.5" customHeight="1">
      <c r="A93" s="215" t="s">
        <v>245</v>
      </c>
      <c r="B93" s="151">
        <v>1200</v>
      </c>
      <c r="C93" s="216">
        <f>C88</f>
        <v>32.599999999999952</v>
      </c>
      <c r="D93" s="216">
        <f t="shared" ref="D93:J93" si="14">D88+D89+D91-D90-D92</f>
        <v>27.899999999999679</v>
      </c>
      <c r="E93" s="216">
        <v>38.1</v>
      </c>
      <c r="F93" s="216">
        <f>G93+H93+I93+J93</f>
        <v>40.044000000000054</v>
      </c>
      <c r="G93" s="216">
        <f>G88+G89+G91-G90-G92</f>
        <v>10.01800000000021</v>
      </c>
      <c r="H93" s="216">
        <f t="shared" si="14"/>
        <v>10.017999999999983</v>
      </c>
      <c r="I93" s="216">
        <f>I88+I89+I91-I90-I92</f>
        <v>10.031999999999908</v>
      </c>
      <c r="J93" s="216">
        <f t="shared" si="14"/>
        <v>9.9759999999999529</v>
      </c>
    </row>
    <row r="94" spans="1:10" s="255" customFormat="1" ht="23.25" customHeight="1">
      <c r="A94" s="8" t="s">
        <v>106</v>
      </c>
      <c r="B94" s="110">
        <v>1210</v>
      </c>
      <c r="C94" s="256">
        <v>5.9</v>
      </c>
      <c r="D94" s="256">
        <v>5</v>
      </c>
      <c r="E94" s="256">
        <f t="shared" ref="E94:J94" si="15">E93*0.18</f>
        <v>6.8579999999999997</v>
      </c>
      <c r="F94" s="256">
        <f t="shared" si="15"/>
        <v>7.2079200000000094</v>
      </c>
      <c r="G94" s="256">
        <f t="shared" si="15"/>
        <v>1.8032400000000377</v>
      </c>
      <c r="H94" s="256">
        <f t="shared" si="15"/>
        <v>1.8032399999999968</v>
      </c>
      <c r="I94" s="256">
        <f t="shared" si="15"/>
        <v>1.8057599999999834</v>
      </c>
      <c r="J94" s="256">
        <f t="shared" si="15"/>
        <v>1.7956799999999915</v>
      </c>
    </row>
    <row r="95" spans="1:10" s="255" customFormat="1" ht="31.5">
      <c r="A95" s="67" t="s">
        <v>107</v>
      </c>
      <c r="B95" s="110">
        <v>1220</v>
      </c>
      <c r="C95" s="362"/>
      <c r="D95" s="362"/>
      <c r="E95" s="362"/>
      <c r="F95" s="362"/>
      <c r="G95" s="362"/>
      <c r="H95" s="362"/>
      <c r="I95" s="362"/>
      <c r="J95" s="362"/>
    </row>
    <row r="96" spans="1:10" s="76" customFormat="1" ht="41.25" customHeight="1">
      <c r="A96" s="75" t="s">
        <v>247</v>
      </c>
      <c r="B96" s="151">
        <v>1230</v>
      </c>
      <c r="C96" s="216">
        <f t="shared" ref="C96:J96" si="16">C93-C94</f>
        <v>26.699999999999953</v>
      </c>
      <c r="D96" s="216">
        <f t="shared" si="16"/>
        <v>22.899999999999679</v>
      </c>
      <c r="E96" s="216">
        <f t="shared" si="16"/>
        <v>31.242000000000001</v>
      </c>
      <c r="F96" s="216">
        <f t="shared" si="16"/>
        <v>32.836080000000045</v>
      </c>
      <c r="G96" s="216">
        <f t="shared" si="16"/>
        <v>8.2147600000001724</v>
      </c>
      <c r="H96" s="216">
        <f t="shared" si="16"/>
        <v>8.2147599999999859</v>
      </c>
      <c r="I96" s="216">
        <f t="shared" si="16"/>
        <v>8.2262399999999243</v>
      </c>
      <c r="J96" s="216">
        <f t="shared" si="16"/>
        <v>8.180319999999961</v>
      </c>
    </row>
    <row r="97" spans="1:10" s="5" customFormat="1" ht="20.100000000000001" customHeight="1">
      <c r="A97" s="530" t="s">
        <v>200</v>
      </c>
      <c r="B97" s="530"/>
      <c r="C97" s="530"/>
      <c r="D97" s="530"/>
      <c r="E97" s="530"/>
      <c r="F97" s="530"/>
      <c r="G97" s="530"/>
      <c r="H97" s="530"/>
      <c r="I97" s="530"/>
      <c r="J97" s="530"/>
    </row>
    <row r="98" spans="1:10" s="255" customFormat="1" ht="20.100000000000001" customHeight="1">
      <c r="A98" s="8" t="s">
        <v>6</v>
      </c>
      <c r="B98" s="110">
        <v>1240</v>
      </c>
      <c r="C98" s="256">
        <f t="shared" ref="C98:J98" si="17">C13+C30+C89+C91</f>
        <v>12014</v>
      </c>
      <c r="D98" s="256">
        <f t="shared" si="17"/>
        <v>12962.1</v>
      </c>
      <c r="E98" s="256">
        <f t="shared" si="17"/>
        <v>13410.4</v>
      </c>
      <c r="F98" s="256">
        <f t="shared" si="17"/>
        <v>15217</v>
      </c>
      <c r="G98" s="256">
        <f t="shared" si="17"/>
        <v>3643.3</v>
      </c>
      <c r="H98" s="256">
        <f t="shared" si="17"/>
        <v>3852</v>
      </c>
      <c r="I98" s="256">
        <f t="shared" si="17"/>
        <v>3863</v>
      </c>
      <c r="J98" s="256">
        <f t="shared" si="17"/>
        <v>3858.7</v>
      </c>
    </row>
    <row r="99" spans="1:10" s="255" customFormat="1" ht="20.100000000000001" customHeight="1">
      <c r="A99" s="8" t="s">
        <v>90</v>
      </c>
      <c r="B99" s="110">
        <v>1250</v>
      </c>
      <c r="C99" s="256">
        <f>C14+C31+C62+C79+C94</f>
        <v>11987.3</v>
      </c>
      <c r="D99" s="256">
        <f t="shared" ref="D99:J99" si="18">D14+D31+D62+D79+D90+D92+D94</f>
        <v>12939.2</v>
      </c>
      <c r="E99" s="256">
        <f>E14+E31+E62+E79+E90+E92+E94</f>
        <v>13379.238000000001</v>
      </c>
      <c r="F99" s="256">
        <f t="shared" si="18"/>
        <v>15184.217919999999</v>
      </c>
      <c r="G99" s="256">
        <f t="shared" si="18"/>
        <v>3635.0852400000003</v>
      </c>
      <c r="H99" s="256">
        <f t="shared" si="18"/>
        <v>3843.7852400000002</v>
      </c>
      <c r="I99" s="256">
        <f t="shared" si="18"/>
        <v>3854.7737600000005</v>
      </c>
      <c r="J99" s="256">
        <f t="shared" si="18"/>
        <v>3850.5196800000003</v>
      </c>
    </row>
    <row r="100" spans="1:10" ht="20.100000000000001" customHeight="1">
      <c r="A100" s="530" t="s">
        <v>171</v>
      </c>
      <c r="B100" s="530"/>
      <c r="C100" s="530"/>
      <c r="D100" s="530"/>
      <c r="E100" s="530"/>
      <c r="F100" s="530"/>
      <c r="G100" s="530"/>
      <c r="H100" s="530"/>
      <c r="I100" s="530"/>
      <c r="J100" s="530"/>
    </row>
    <row r="101" spans="1:10" s="255" customFormat="1" ht="20.100000000000001" customHeight="1">
      <c r="A101" s="8" t="s">
        <v>201</v>
      </c>
      <c r="B101" s="153">
        <v>1260</v>
      </c>
      <c r="C101" s="270">
        <f t="shared" ref="C101:I101" si="19">C102+C103</f>
        <v>4457.8999999999996</v>
      </c>
      <c r="D101" s="270">
        <f t="shared" si="19"/>
        <v>3653</v>
      </c>
      <c r="E101" s="270">
        <f t="shared" si="19"/>
        <v>3755.3999999999996</v>
      </c>
      <c r="F101" s="270">
        <f t="shared" si="19"/>
        <v>4892.7</v>
      </c>
      <c r="G101" s="270">
        <f t="shared" si="19"/>
        <v>1166.4000000000001</v>
      </c>
      <c r="H101" s="270">
        <f t="shared" si="19"/>
        <v>1113.2</v>
      </c>
      <c r="I101" s="270">
        <f t="shared" si="19"/>
        <v>1329.1</v>
      </c>
      <c r="J101" s="270">
        <f>J102+J103</f>
        <v>1284</v>
      </c>
    </row>
    <row r="102" spans="1:10" s="255" customFormat="1" ht="35.25" customHeight="1">
      <c r="A102" s="8" t="s">
        <v>199</v>
      </c>
      <c r="B102" s="153">
        <v>1261</v>
      </c>
      <c r="C102" s="90">
        <v>2278.8000000000002</v>
      </c>
      <c r="D102" s="90">
        <v>1919.8</v>
      </c>
      <c r="E102" s="256">
        <f t="shared" ref="E102:J102" si="20">E15+E26+E60+E72+E73+E56</f>
        <v>1860.7999999999997</v>
      </c>
      <c r="F102" s="256">
        <f t="shared" si="20"/>
        <v>2263.7999999999997</v>
      </c>
      <c r="G102" s="256">
        <f t="shared" si="20"/>
        <v>506.2</v>
      </c>
      <c r="H102" s="256">
        <f t="shared" si="20"/>
        <v>537.9</v>
      </c>
      <c r="I102" s="256">
        <f t="shared" si="20"/>
        <v>629.89999999999986</v>
      </c>
      <c r="J102" s="256">
        <f t="shared" si="20"/>
        <v>589.80000000000007</v>
      </c>
    </row>
    <row r="103" spans="1:10" s="255" customFormat="1" ht="20.100000000000001" customHeight="1">
      <c r="A103" s="8" t="s">
        <v>11</v>
      </c>
      <c r="B103" s="153">
        <v>1262</v>
      </c>
      <c r="C103" s="90">
        <v>2179.1</v>
      </c>
      <c r="D103" s="90">
        <v>1733.2</v>
      </c>
      <c r="E103" s="256">
        <v>1894.6</v>
      </c>
      <c r="F103" s="256">
        <f>F16+F27+F54+F55+F70+F71+143.9+F17</f>
        <v>2628.9</v>
      </c>
      <c r="G103" s="256">
        <f>G16+G17+G27+G55+G70+G71+36</f>
        <v>660.2</v>
      </c>
      <c r="H103" s="256">
        <f>H16+H17+H27+H55+H70+H71+36.1</f>
        <v>575.30000000000007</v>
      </c>
      <c r="I103" s="256">
        <f>I16+I17+I27+I55+I70+I71+35.9</f>
        <v>699.19999999999993</v>
      </c>
      <c r="J103" s="256">
        <f>J16+J17+J27+J55+J70+J71+35.9</f>
        <v>694.19999999999993</v>
      </c>
    </row>
    <row r="104" spans="1:10" s="255" customFormat="1" ht="20.100000000000001" customHeight="1">
      <c r="A104" s="8" t="s">
        <v>2</v>
      </c>
      <c r="B104" s="153">
        <v>1270</v>
      </c>
      <c r="C104" s="90">
        <v>5302</v>
      </c>
      <c r="D104" s="90">
        <v>6675.4</v>
      </c>
      <c r="E104" s="256">
        <v>6913</v>
      </c>
      <c r="F104" s="256">
        <f>F18+F39+F65+12</f>
        <v>7436.7999999999993</v>
      </c>
      <c r="G104" s="256">
        <f>G18+G39+G65+3</f>
        <v>1811.1000000000001</v>
      </c>
      <c r="H104" s="256">
        <f>H18+H39+H65+3</f>
        <v>1811.1000000000001</v>
      </c>
      <c r="I104" s="256">
        <f>I18+I39+I65+3</f>
        <v>1892.3999999999999</v>
      </c>
      <c r="J104" s="256">
        <f>J18+J39+J65+3</f>
        <v>1922.2</v>
      </c>
    </row>
    <row r="105" spans="1:10" s="255" customFormat="1" ht="20.100000000000001" customHeight="1">
      <c r="A105" s="8" t="s">
        <v>3</v>
      </c>
      <c r="B105" s="153">
        <v>1280</v>
      </c>
      <c r="C105" s="90">
        <v>1145</v>
      </c>
      <c r="D105" s="90">
        <v>1468.6</v>
      </c>
      <c r="E105" s="256">
        <v>1520.8</v>
      </c>
      <c r="F105" s="256">
        <f>F19+F40+F66+2.6</f>
        <v>1636.1099999999997</v>
      </c>
      <c r="G105" s="256">
        <f>G19+G40+G66+0.6</f>
        <v>398.38200000000001</v>
      </c>
      <c r="H105" s="256">
        <f>H19+H40+H66+0.6</f>
        <v>398.38200000000001</v>
      </c>
      <c r="I105" s="256">
        <f>I19+I40+I66+0.7</f>
        <v>416.36799999999999</v>
      </c>
      <c r="J105" s="256">
        <f>J19+J40+J66+0.7</f>
        <v>422.92399999999998</v>
      </c>
    </row>
    <row r="106" spans="1:10" s="255" customFormat="1" ht="20.100000000000001" customHeight="1">
      <c r="A106" s="8" t="s">
        <v>4</v>
      </c>
      <c r="B106" s="153">
        <v>1290</v>
      </c>
      <c r="C106" s="90">
        <v>253</v>
      </c>
      <c r="D106" s="90">
        <v>299.8</v>
      </c>
      <c r="E106" s="256">
        <v>295.8</v>
      </c>
      <c r="F106" s="256">
        <f>F21+F41+F67+1.4</f>
        <v>295.60000000000002</v>
      </c>
      <c r="G106" s="256">
        <f>G21+G41+G67+0.3</f>
        <v>83.3</v>
      </c>
      <c r="H106" s="256">
        <f>H21+H41+H67+0.3</f>
        <v>62.3</v>
      </c>
      <c r="I106" s="256">
        <f>I21+I41+I67+0.4</f>
        <v>75</v>
      </c>
      <c r="J106" s="256">
        <f>J21+J41+J67+0.4</f>
        <v>75</v>
      </c>
    </row>
    <row r="107" spans="1:10" s="255" customFormat="1" ht="20.100000000000001" customHeight="1">
      <c r="A107" s="8" t="s">
        <v>12</v>
      </c>
      <c r="B107" s="153">
        <v>1300</v>
      </c>
      <c r="C107" s="90">
        <v>823.5</v>
      </c>
      <c r="D107" s="90">
        <v>837.4</v>
      </c>
      <c r="E107" s="256">
        <f>E23+E24+E25+E38+E43+E57+E58+E59+E74+E77+E79+E28+E36+E61+E78+E51+E75+E76</f>
        <v>887.30000000000007</v>
      </c>
      <c r="F107" s="256">
        <f>F23+F24+F25+F38+F43+F57+F58+F59+F74+F75+F77+F79+F76+F28+F36+F61+F78+F51</f>
        <v>915.80000000000007</v>
      </c>
      <c r="G107" s="256">
        <f>G23+G24+G25+G38+G43+G57+G58+G59+G74+G75+G77+G79+G76+G28+G61+G78+G36</f>
        <v>174.1</v>
      </c>
      <c r="H107" s="256">
        <f>H23+H24+H25+H38+H43+H57+H58+H59+H74+H75+H77+H79+H76+H28+H61+H78</f>
        <v>457</v>
      </c>
      <c r="I107" s="256">
        <f>I23+I24+I25+I38+I43+I57+I58+I59+I74+I75+I77+I79+I76+I28+I61+I78+I51</f>
        <v>140.1</v>
      </c>
      <c r="J107" s="256">
        <f>J23+J24+J25+J38+J43+J57+J58+J59+J74+J75+J77+J79+J76+J28+J61+J78+J36</f>
        <v>144.6</v>
      </c>
    </row>
    <row r="108" spans="1:10" s="5" customFormat="1" ht="28.5" customHeight="1">
      <c r="A108" s="213" t="s">
        <v>40</v>
      </c>
      <c r="B108" s="218">
        <v>1310</v>
      </c>
      <c r="C108" s="169">
        <f t="shared" ref="C108:J108" si="21">C101+C104+C105+C106+C107</f>
        <v>11981.4</v>
      </c>
      <c r="D108" s="217">
        <f t="shared" si="21"/>
        <v>12934.199999999999</v>
      </c>
      <c r="E108" s="217">
        <f t="shared" si="21"/>
        <v>13372.299999999997</v>
      </c>
      <c r="F108" s="169">
        <f t="shared" si="21"/>
        <v>15177.01</v>
      </c>
      <c r="G108" s="217">
        <f t="shared" si="21"/>
        <v>3633.2820000000002</v>
      </c>
      <c r="H108" s="217">
        <f t="shared" si="21"/>
        <v>3841.9820000000004</v>
      </c>
      <c r="I108" s="217">
        <f t="shared" si="21"/>
        <v>3852.9679999999998</v>
      </c>
      <c r="J108" s="217">
        <f t="shared" si="21"/>
        <v>3848.7239999999997</v>
      </c>
    </row>
    <row r="109" spans="1:10" ht="33.75" customHeight="1">
      <c r="A109" s="404" t="s">
        <v>522</v>
      </c>
      <c r="B109" s="128"/>
      <c r="C109" s="545"/>
      <c r="D109" s="545"/>
      <c r="E109" s="545"/>
      <c r="F109" s="545"/>
      <c r="G109" s="129"/>
      <c r="H109" s="546" t="s">
        <v>326</v>
      </c>
      <c r="I109" s="546"/>
      <c r="J109" s="546"/>
    </row>
    <row r="110" spans="1:10" s="2" customFormat="1" ht="20.100000000000001" customHeight="1">
      <c r="A110" s="131" t="s">
        <v>177</v>
      </c>
      <c r="B110" s="130"/>
      <c r="C110" s="542" t="s">
        <v>219</v>
      </c>
      <c r="D110" s="542"/>
      <c r="E110" s="542"/>
      <c r="F110" s="542"/>
      <c r="G110" s="132"/>
      <c r="H110" s="543" t="s">
        <v>78</v>
      </c>
      <c r="I110" s="543"/>
      <c r="J110" s="543"/>
    </row>
    <row r="111" spans="1:10" ht="20.100000000000001" customHeight="1">
      <c r="A111" s="24"/>
      <c r="C111" s="28"/>
      <c r="D111" s="28"/>
      <c r="E111" s="28"/>
      <c r="F111" s="25"/>
      <c r="G111" s="25"/>
      <c r="H111" s="25"/>
      <c r="I111" s="25"/>
      <c r="J111" s="25"/>
    </row>
    <row r="112" spans="1:10">
      <c r="A112" s="24"/>
      <c r="C112" s="28"/>
      <c r="D112" s="28"/>
      <c r="E112" s="28"/>
      <c r="F112" s="25"/>
      <c r="G112" s="25"/>
      <c r="H112" s="25"/>
      <c r="I112" s="25"/>
      <c r="J112" s="25"/>
    </row>
    <row r="113" spans="1:10">
      <c r="A113" s="24"/>
      <c r="C113" s="28"/>
      <c r="D113" s="28"/>
      <c r="E113" s="28"/>
      <c r="F113" s="25"/>
      <c r="G113" s="25"/>
      <c r="H113" s="25"/>
      <c r="I113" s="25"/>
      <c r="J113" s="25"/>
    </row>
    <row r="114" spans="1:10">
      <c r="A114" s="24"/>
      <c r="C114" s="28"/>
      <c r="D114" s="28"/>
      <c r="E114" s="28"/>
      <c r="F114" s="25"/>
      <c r="G114" s="25"/>
      <c r="H114" s="25"/>
      <c r="I114" s="25"/>
      <c r="J114" s="25"/>
    </row>
    <row r="115" spans="1:10">
      <c r="A115" s="24"/>
      <c r="C115" s="28"/>
      <c r="D115" s="28"/>
      <c r="E115" s="28"/>
      <c r="F115" s="25"/>
      <c r="G115" s="25"/>
      <c r="H115" s="25"/>
      <c r="I115" s="25"/>
      <c r="J115" s="25"/>
    </row>
    <row r="116" spans="1:10">
      <c r="A116" s="24"/>
      <c r="C116" s="28"/>
      <c r="D116" s="28"/>
      <c r="E116" s="28"/>
      <c r="F116" s="25"/>
      <c r="G116" s="25"/>
      <c r="H116" s="25"/>
      <c r="I116" s="25"/>
      <c r="J116" s="25"/>
    </row>
    <row r="117" spans="1:10">
      <c r="A117" s="24"/>
      <c r="C117" s="28"/>
      <c r="D117" s="28"/>
      <c r="E117" s="28"/>
      <c r="F117" s="25"/>
      <c r="G117" s="25"/>
      <c r="H117" s="25"/>
      <c r="I117" s="25"/>
      <c r="J117" s="25"/>
    </row>
    <row r="118" spans="1:10">
      <c r="A118" s="24"/>
      <c r="C118" s="28"/>
      <c r="D118" s="28"/>
      <c r="E118" s="28"/>
      <c r="F118" s="25"/>
      <c r="G118" s="25"/>
      <c r="H118" s="25"/>
      <c r="I118" s="25"/>
      <c r="J118" s="25"/>
    </row>
    <row r="119" spans="1:10">
      <c r="A119" s="24"/>
      <c r="C119" s="28"/>
      <c r="D119" s="28"/>
      <c r="E119" s="28"/>
      <c r="F119" s="25"/>
      <c r="G119" s="25"/>
      <c r="H119" s="25"/>
      <c r="I119" s="25"/>
      <c r="J119" s="25"/>
    </row>
    <row r="120" spans="1:10">
      <c r="A120" s="24"/>
      <c r="C120" s="28"/>
      <c r="D120" s="28"/>
      <c r="E120" s="28"/>
      <c r="F120" s="25"/>
      <c r="G120" s="25"/>
      <c r="H120" s="25"/>
      <c r="I120" s="25"/>
      <c r="J120" s="25"/>
    </row>
    <row r="121" spans="1:10">
      <c r="A121" s="24"/>
      <c r="C121" s="28"/>
      <c r="D121" s="28"/>
      <c r="E121" s="28"/>
      <c r="F121" s="25"/>
      <c r="G121" s="25"/>
      <c r="H121" s="25"/>
      <c r="I121" s="25"/>
      <c r="J121" s="25"/>
    </row>
    <row r="122" spans="1:10">
      <c r="A122" s="24"/>
      <c r="C122" s="28"/>
      <c r="D122" s="28"/>
      <c r="E122" s="28"/>
      <c r="F122" s="25"/>
      <c r="G122" s="25"/>
      <c r="H122" s="25"/>
      <c r="I122" s="25"/>
      <c r="J122" s="25"/>
    </row>
    <row r="123" spans="1:10">
      <c r="A123" s="24"/>
      <c r="C123" s="28"/>
      <c r="D123" s="28"/>
      <c r="E123" s="28"/>
      <c r="F123" s="25"/>
      <c r="G123" s="25"/>
      <c r="H123" s="25"/>
      <c r="I123" s="25"/>
      <c r="J123" s="25"/>
    </row>
    <row r="124" spans="1:10">
      <c r="A124" s="24"/>
      <c r="C124" s="28"/>
      <c r="D124" s="28"/>
      <c r="E124" s="28"/>
      <c r="F124" s="25"/>
      <c r="G124" s="25"/>
      <c r="H124" s="25"/>
      <c r="I124" s="25"/>
      <c r="J124" s="25"/>
    </row>
    <row r="125" spans="1:10">
      <c r="A125" s="24"/>
      <c r="C125" s="28"/>
      <c r="D125" s="28"/>
      <c r="E125" s="28"/>
      <c r="F125" s="25"/>
      <c r="G125" s="25"/>
      <c r="H125" s="25"/>
      <c r="I125" s="25"/>
      <c r="J125" s="25"/>
    </row>
    <row r="126" spans="1:10">
      <c r="A126" s="24"/>
      <c r="C126" s="28"/>
      <c r="D126" s="28"/>
      <c r="E126" s="28"/>
      <c r="F126" s="25"/>
      <c r="G126" s="25"/>
      <c r="H126" s="25"/>
      <c r="I126" s="25"/>
      <c r="J126" s="25"/>
    </row>
    <row r="127" spans="1:10">
      <c r="A127" s="24"/>
      <c r="C127" s="28"/>
      <c r="D127" s="28"/>
      <c r="E127" s="28"/>
      <c r="F127" s="25"/>
      <c r="G127" s="25"/>
      <c r="H127" s="25"/>
      <c r="I127" s="25"/>
      <c r="J127" s="25"/>
    </row>
    <row r="128" spans="1:10">
      <c r="A128" s="24"/>
      <c r="C128" s="28"/>
      <c r="D128" s="28"/>
      <c r="E128" s="28"/>
      <c r="F128" s="25"/>
      <c r="G128" s="25"/>
      <c r="H128" s="25"/>
      <c r="I128" s="25"/>
      <c r="J128" s="25"/>
    </row>
    <row r="129" spans="1:10">
      <c r="A129" s="24"/>
      <c r="C129" s="28"/>
      <c r="D129" s="28"/>
      <c r="E129" s="28"/>
      <c r="F129" s="25"/>
      <c r="G129" s="25"/>
      <c r="H129" s="25"/>
      <c r="I129" s="25"/>
      <c r="J129" s="25"/>
    </row>
    <row r="130" spans="1:10">
      <c r="A130" s="24"/>
      <c r="C130" s="28"/>
      <c r="D130" s="28"/>
      <c r="E130" s="28"/>
      <c r="F130" s="25"/>
      <c r="G130" s="25"/>
      <c r="H130" s="25"/>
      <c r="I130" s="25"/>
      <c r="J130" s="25"/>
    </row>
    <row r="131" spans="1:10">
      <c r="A131" s="24"/>
      <c r="C131" s="28"/>
      <c r="D131" s="28"/>
      <c r="E131" s="28"/>
      <c r="F131" s="25"/>
      <c r="G131" s="25"/>
      <c r="H131" s="25"/>
      <c r="I131" s="25"/>
      <c r="J131" s="25"/>
    </row>
    <row r="132" spans="1:10">
      <c r="A132" s="24"/>
      <c r="C132" s="28"/>
      <c r="D132" s="28"/>
      <c r="E132" s="28"/>
      <c r="F132" s="25"/>
      <c r="G132" s="25"/>
      <c r="H132" s="25"/>
      <c r="I132" s="25"/>
      <c r="J132" s="25"/>
    </row>
    <row r="133" spans="1:10">
      <c r="A133" s="24"/>
      <c r="C133" s="28"/>
      <c r="D133" s="28"/>
      <c r="E133" s="28"/>
      <c r="F133" s="25"/>
      <c r="G133" s="25"/>
      <c r="H133" s="25"/>
      <c r="I133" s="25"/>
      <c r="J133" s="25"/>
    </row>
    <row r="134" spans="1:10">
      <c r="A134" s="24"/>
      <c r="C134" s="28"/>
      <c r="D134" s="28"/>
      <c r="E134" s="28"/>
      <c r="F134" s="25"/>
      <c r="G134" s="25"/>
      <c r="H134" s="25"/>
      <c r="I134" s="25"/>
      <c r="J134" s="25"/>
    </row>
    <row r="135" spans="1:10">
      <c r="A135" s="24"/>
      <c r="C135" s="28"/>
      <c r="D135" s="28"/>
      <c r="E135" s="28"/>
      <c r="F135" s="25"/>
      <c r="G135" s="25"/>
      <c r="H135" s="25"/>
      <c r="I135" s="25"/>
      <c r="J135" s="25"/>
    </row>
    <row r="136" spans="1:10">
      <c r="A136" s="24"/>
      <c r="C136" s="28"/>
      <c r="D136" s="28"/>
      <c r="E136" s="28"/>
      <c r="F136" s="25"/>
      <c r="G136" s="25"/>
      <c r="H136" s="25"/>
      <c r="I136" s="25"/>
      <c r="J136" s="25"/>
    </row>
    <row r="137" spans="1:10">
      <c r="A137" s="24"/>
      <c r="C137" s="28"/>
      <c r="D137" s="28"/>
      <c r="E137" s="28"/>
      <c r="F137" s="25"/>
      <c r="G137" s="25"/>
      <c r="H137" s="25"/>
      <c r="I137" s="25"/>
      <c r="J137" s="25"/>
    </row>
    <row r="138" spans="1:10">
      <c r="A138" s="24"/>
      <c r="C138" s="28"/>
      <c r="D138" s="28"/>
      <c r="E138" s="28"/>
      <c r="F138" s="25"/>
      <c r="G138" s="25"/>
      <c r="H138" s="25"/>
      <c r="I138" s="25"/>
      <c r="J138" s="25"/>
    </row>
    <row r="139" spans="1:10">
      <c r="A139" s="24"/>
      <c r="C139" s="28"/>
      <c r="D139" s="28"/>
      <c r="E139" s="28"/>
      <c r="F139" s="25"/>
      <c r="G139" s="25"/>
      <c r="H139" s="25"/>
      <c r="I139" s="25"/>
      <c r="J139" s="25"/>
    </row>
    <row r="140" spans="1:10">
      <c r="A140" s="24"/>
      <c r="C140" s="28"/>
      <c r="D140" s="28"/>
      <c r="E140" s="28"/>
      <c r="F140" s="25"/>
      <c r="G140" s="25"/>
      <c r="H140" s="25"/>
      <c r="I140" s="25"/>
      <c r="J140" s="25"/>
    </row>
    <row r="141" spans="1:10">
      <c r="A141" s="24"/>
      <c r="C141" s="28"/>
      <c r="D141" s="28"/>
      <c r="E141" s="28"/>
      <c r="F141" s="25"/>
      <c r="G141" s="25"/>
      <c r="H141" s="25"/>
      <c r="I141" s="25"/>
      <c r="J141" s="25"/>
    </row>
    <row r="142" spans="1:10">
      <c r="A142" s="24"/>
      <c r="C142" s="28"/>
      <c r="D142" s="28"/>
      <c r="E142" s="28"/>
      <c r="F142" s="25"/>
      <c r="G142" s="25"/>
      <c r="H142" s="25"/>
      <c r="I142" s="25"/>
      <c r="J142" s="25"/>
    </row>
    <row r="143" spans="1:10">
      <c r="A143" s="24"/>
      <c r="C143" s="28"/>
      <c r="D143" s="28"/>
      <c r="E143" s="28"/>
      <c r="F143" s="25"/>
      <c r="G143" s="25"/>
      <c r="H143" s="25"/>
      <c r="I143" s="25"/>
      <c r="J143" s="25"/>
    </row>
    <row r="144" spans="1:10">
      <c r="A144" s="24"/>
      <c r="C144" s="28"/>
      <c r="D144" s="28"/>
      <c r="E144" s="28"/>
      <c r="F144" s="25"/>
      <c r="G144" s="25"/>
      <c r="H144" s="25"/>
      <c r="I144" s="25"/>
      <c r="J144" s="25"/>
    </row>
    <row r="145" spans="1:10">
      <c r="A145" s="24"/>
      <c r="C145" s="28"/>
      <c r="D145" s="28"/>
      <c r="E145" s="28"/>
      <c r="F145" s="25"/>
      <c r="G145" s="25"/>
      <c r="H145" s="25"/>
      <c r="I145" s="25"/>
      <c r="J145" s="25"/>
    </row>
    <row r="146" spans="1:10">
      <c r="A146" s="24"/>
      <c r="C146" s="28"/>
      <c r="D146" s="28"/>
      <c r="E146" s="28"/>
      <c r="F146" s="25"/>
      <c r="G146" s="25"/>
      <c r="H146" s="25"/>
      <c r="I146" s="25"/>
      <c r="J146" s="25"/>
    </row>
    <row r="147" spans="1:10">
      <c r="A147" s="24"/>
      <c r="C147" s="28"/>
      <c r="D147" s="28"/>
      <c r="E147" s="28"/>
      <c r="F147" s="25"/>
      <c r="G147" s="25"/>
      <c r="H147" s="25"/>
      <c r="I147" s="25"/>
      <c r="J147" s="25"/>
    </row>
    <row r="148" spans="1:10">
      <c r="A148" s="24"/>
      <c r="C148" s="28"/>
      <c r="D148" s="28"/>
      <c r="E148" s="28"/>
      <c r="F148" s="25"/>
      <c r="G148" s="25"/>
      <c r="H148" s="25"/>
      <c r="I148" s="25"/>
      <c r="J148" s="25"/>
    </row>
    <row r="149" spans="1:10">
      <c r="A149" s="24"/>
      <c r="C149" s="28"/>
      <c r="D149" s="28"/>
      <c r="E149" s="28"/>
      <c r="F149" s="25"/>
      <c r="G149" s="25"/>
      <c r="H149" s="25"/>
      <c r="I149" s="25"/>
      <c r="J149" s="25"/>
    </row>
    <row r="150" spans="1:10">
      <c r="A150" s="24"/>
      <c r="C150" s="28"/>
      <c r="D150" s="28"/>
      <c r="E150" s="28"/>
      <c r="F150" s="25"/>
      <c r="G150" s="25"/>
      <c r="H150" s="25"/>
      <c r="I150" s="25"/>
      <c r="J150" s="25"/>
    </row>
    <row r="151" spans="1:10">
      <c r="A151" s="24"/>
      <c r="C151" s="28"/>
      <c r="D151" s="28"/>
      <c r="E151" s="28"/>
      <c r="F151" s="25"/>
      <c r="G151" s="25"/>
      <c r="H151" s="25"/>
      <c r="I151" s="25"/>
      <c r="J151" s="25"/>
    </row>
    <row r="152" spans="1:10">
      <c r="A152" s="24"/>
      <c r="C152" s="28"/>
      <c r="D152" s="28"/>
      <c r="E152" s="28"/>
      <c r="F152" s="25"/>
      <c r="G152" s="25"/>
      <c r="H152" s="25"/>
      <c r="I152" s="25"/>
      <c r="J152" s="25"/>
    </row>
    <row r="153" spans="1:10">
      <c r="A153" s="24"/>
      <c r="C153" s="28"/>
      <c r="D153" s="28"/>
      <c r="E153" s="28"/>
      <c r="F153" s="25"/>
      <c r="G153" s="25"/>
      <c r="H153" s="25"/>
      <c r="I153" s="25"/>
      <c r="J153" s="25"/>
    </row>
    <row r="154" spans="1:10">
      <c r="A154" s="24"/>
      <c r="C154" s="28"/>
      <c r="D154" s="28"/>
      <c r="E154" s="28"/>
      <c r="F154" s="25"/>
      <c r="G154" s="25"/>
      <c r="H154" s="25"/>
      <c r="I154" s="25"/>
      <c r="J154" s="25"/>
    </row>
    <row r="155" spans="1:10">
      <c r="A155" s="24"/>
      <c r="C155" s="28"/>
      <c r="D155" s="28"/>
      <c r="E155" s="28"/>
      <c r="F155" s="25"/>
      <c r="G155" s="25"/>
      <c r="H155" s="25"/>
      <c r="I155" s="25"/>
      <c r="J155" s="25"/>
    </row>
    <row r="156" spans="1:10">
      <c r="A156" s="24"/>
      <c r="C156" s="28"/>
      <c r="D156" s="28"/>
      <c r="E156" s="28"/>
      <c r="F156" s="25"/>
      <c r="G156" s="25"/>
      <c r="H156" s="25"/>
      <c r="I156" s="25"/>
      <c r="J156" s="25"/>
    </row>
    <row r="157" spans="1:10">
      <c r="A157" s="24"/>
      <c r="C157" s="28"/>
      <c r="D157" s="28"/>
      <c r="E157" s="28"/>
      <c r="F157" s="25"/>
      <c r="G157" s="25"/>
      <c r="H157" s="25"/>
      <c r="I157" s="25"/>
      <c r="J157" s="25"/>
    </row>
    <row r="158" spans="1:10">
      <c r="A158" s="24"/>
      <c r="C158" s="28"/>
      <c r="D158" s="28"/>
      <c r="E158" s="28"/>
      <c r="F158" s="25"/>
      <c r="G158" s="25"/>
      <c r="H158" s="25"/>
      <c r="I158" s="25"/>
      <c r="J158" s="25"/>
    </row>
    <row r="159" spans="1:10">
      <c r="A159" s="24"/>
      <c r="C159" s="28"/>
      <c r="D159" s="28"/>
      <c r="E159" s="28"/>
      <c r="F159" s="25"/>
      <c r="G159" s="25"/>
      <c r="H159" s="25"/>
      <c r="I159" s="25"/>
      <c r="J159" s="25"/>
    </row>
    <row r="160" spans="1:10">
      <c r="A160" s="24"/>
      <c r="C160" s="28"/>
      <c r="D160" s="28"/>
      <c r="E160" s="28"/>
      <c r="F160" s="25"/>
      <c r="G160" s="25"/>
      <c r="H160" s="25"/>
      <c r="I160" s="25"/>
      <c r="J160" s="25"/>
    </row>
    <row r="161" spans="1:10">
      <c r="A161" s="24"/>
      <c r="C161" s="28"/>
      <c r="D161" s="28"/>
      <c r="E161" s="28"/>
      <c r="F161" s="25"/>
      <c r="G161" s="25"/>
      <c r="H161" s="25"/>
      <c r="I161" s="25"/>
      <c r="J161" s="25"/>
    </row>
    <row r="162" spans="1:10">
      <c r="A162" s="24"/>
      <c r="C162" s="28"/>
      <c r="D162" s="28"/>
      <c r="E162" s="28"/>
      <c r="F162" s="25"/>
      <c r="G162" s="25"/>
      <c r="H162" s="25"/>
      <c r="I162" s="25"/>
      <c r="J162" s="25"/>
    </row>
    <row r="163" spans="1:10">
      <c r="A163" s="24"/>
      <c r="C163" s="28"/>
      <c r="D163" s="28"/>
      <c r="E163" s="28"/>
      <c r="F163" s="25"/>
      <c r="G163" s="25"/>
      <c r="H163" s="25"/>
      <c r="I163" s="25"/>
      <c r="J163" s="25"/>
    </row>
    <row r="164" spans="1:10">
      <c r="A164" s="24"/>
      <c r="C164" s="28"/>
      <c r="D164" s="28"/>
      <c r="E164" s="28"/>
      <c r="F164" s="25"/>
      <c r="G164" s="25"/>
      <c r="H164" s="25"/>
      <c r="I164" s="25"/>
      <c r="J164" s="25"/>
    </row>
    <row r="165" spans="1:10">
      <c r="A165" s="24"/>
      <c r="C165" s="28"/>
      <c r="D165" s="28"/>
      <c r="E165" s="28"/>
      <c r="F165" s="25"/>
      <c r="G165" s="25"/>
      <c r="H165" s="25"/>
      <c r="I165" s="25"/>
      <c r="J165" s="25"/>
    </row>
    <row r="166" spans="1:10">
      <c r="A166" s="24"/>
      <c r="C166" s="28"/>
      <c r="D166" s="28"/>
      <c r="E166" s="28"/>
      <c r="F166" s="25"/>
      <c r="G166" s="25"/>
      <c r="H166" s="25"/>
      <c r="I166" s="25"/>
      <c r="J166" s="25"/>
    </row>
    <row r="167" spans="1:10">
      <c r="A167" s="24"/>
      <c r="C167" s="28"/>
      <c r="D167" s="28"/>
      <c r="E167" s="28"/>
      <c r="F167" s="25"/>
      <c r="G167" s="25"/>
      <c r="H167" s="25"/>
      <c r="I167" s="25"/>
      <c r="J167" s="25"/>
    </row>
    <row r="168" spans="1:10">
      <c r="A168" s="24"/>
      <c r="C168" s="28"/>
      <c r="D168" s="28"/>
      <c r="E168" s="28"/>
      <c r="F168" s="25"/>
      <c r="G168" s="25"/>
      <c r="H168" s="25"/>
      <c r="I168" s="25"/>
      <c r="J168" s="25"/>
    </row>
    <row r="169" spans="1:10">
      <c r="A169" s="37"/>
    </row>
    <row r="170" spans="1:10">
      <c r="A170" s="37"/>
    </row>
    <row r="171" spans="1:10">
      <c r="A171" s="37"/>
    </row>
    <row r="172" spans="1:10">
      <c r="A172" s="37"/>
    </row>
    <row r="173" spans="1:10">
      <c r="A173" s="37"/>
    </row>
    <row r="174" spans="1:10">
      <c r="A174" s="37"/>
    </row>
    <row r="175" spans="1:10">
      <c r="A175" s="37"/>
    </row>
    <row r="176" spans="1:10">
      <c r="A176" s="37"/>
    </row>
    <row r="177" spans="1:1">
      <c r="A177" s="37"/>
    </row>
    <row r="178" spans="1:1">
      <c r="A178" s="37"/>
    </row>
    <row r="179" spans="1:1">
      <c r="A179" s="37"/>
    </row>
    <row r="180" spans="1:1">
      <c r="A180" s="37"/>
    </row>
    <row r="181" spans="1:1">
      <c r="A181" s="37"/>
    </row>
    <row r="182" spans="1:1">
      <c r="A182" s="37"/>
    </row>
    <row r="183" spans="1:1">
      <c r="A183" s="37"/>
    </row>
    <row r="184" spans="1:1">
      <c r="A184" s="37"/>
    </row>
    <row r="185" spans="1:1">
      <c r="A185" s="37"/>
    </row>
    <row r="186" spans="1:1">
      <c r="A186" s="37"/>
    </row>
    <row r="187" spans="1:1">
      <c r="A187" s="37"/>
    </row>
    <row r="188" spans="1:1">
      <c r="A188" s="37"/>
    </row>
    <row r="189" spans="1:1">
      <c r="A189" s="37"/>
    </row>
    <row r="190" spans="1:1">
      <c r="A190" s="37"/>
    </row>
    <row r="191" spans="1:1">
      <c r="A191" s="37"/>
    </row>
    <row r="192" spans="1:1">
      <c r="A192" s="37"/>
    </row>
    <row r="193" spans="1:1">
      <c r="A193" s="37"/>
    </row>
    <row r="194" spans="1:1">
      <c r="A194" s="37"/>
    </row>
    <row r="195" spans="1:1">
      <c r="A195" s="37"/>
    </row>
    <row r="196" spans="1:1">
      <c r="A196" s="37"/>
    </row>
    <row r="197" spans="1:1">
      <c r="A197" s="37"/>
    </row>
    <row r="198" spans="1:1">
      <c r="A198" s="37"/>
    </row>
    <row r="199" spans="1:1">
      <c r="A199" s="37"/>
    </row>
    <row r="200" spans="1:1">
      <c r="A200" s="37"/>
    </row>
    <row r="201" spans="1:1">
      <c r="A201" s="37"/>
    </row>
    <row r="202" spans="1:1">
      <c r="A202" s="37"/>
    </row>
    <row r="203" spans="1:1">
      <c r="A203" s="37"/>
    </row>
    <row r="204" spans="1:1">
      <c r="A204" s="37"/>
    </row>
    <row r="205" spans="1:1">
      <c r="A205" s="37"/>
    </row>
    <row r="206" spans="1:1">
      <c r="A206" s="37"/>
    </row>
    <row r="207" spans="1:1">
      <c r="A207" s="37"/>
    </row>
    <row r="208" spans="1:1">
      <c r="A208" s="37"/>
    </row>
    <row r="209" spans="1:1">
      <c r="A209" s="37"/>
    </row>
    <row r="210" spans="1:1">
      <c r="A210" s="37"/>
    </row>
    <row r="211" spans="1:1">
      <c r="A211" s="37"/>
    </row>
    <row r="212" spans="1:1">
      <c r="A212" s="37"/>
    </row>
    <row r="213" spans="1:1">
      <c r="A213" s="37"/>
    </row>
    <row r="214" spans="1:1">
      <c r="A214" s="37"/>
    </row>
    <row r="215" spans="1:1">
      <c r="A215" s="37"/>
    </row>
    <row r="216" spans="1:1">
      <c r="A216" s="37"/>
    </row>
    <row r="217" spans="1:1">
      <c r="A217" s="37"/>
    </row>
    <row r="218" spans="1:1">
      <c r="A218" s="37"/>
    </row>
    <row r="219" spans="1:1">
      <c r="A219" s="37"/>
    </row>
    <row r="220" spans="1:1">
      <c r="A220" s="37"/>
    </row>
    <row r="221" spans="1:1">
      <c r="A221" s="37"/>
    </row>
    <row r="222" spans="1:1">
      <c r="A222" s="37"/>
    </row>
    <row r="223" spans="1:1">
      <c r="A223" s="37"/>
    </row>
    <row r="224" spans="1:1">
      <c r="A224" s="37"/>
    </row>
    <row r="225" spans="1:1">
      <c r="A225" s="37"/>
    </row>
    <row r="226" spans="1:1">
      <c r="A226" s="37"/>
    </row>
    <row r="227" spans="1:1">
      <c r="A227" s="37"/>
    </row>
    <row r="228" spans="1:1">
      <c r="A228" s="37"/>
    </row>
    <row r="229" spans="1:1">
      <c r="A229" s="37"/>
    </row>
    <row r="230" spans="1:1">
      <c r="A230" s="37"/>
    </row>
    <row r="231" spans="1:1">
      <c r="A231" s="37"/>
    </row>
    <row r="232" spans="1:1">
      <c r="A232" s="37"/>
    </row>
    <row r="233" spans="1:1">
      <c r="A233" s="37"/>
    </row>
    <row r="234" spans="1:1">
      <c r="A234" s="37"/>
    </row>
    <row r="235" spans="1:1">
      <c r="A235" s="37"/>
    </row>
    <row r="236" spans="1:1">
      <c r="A236" s="37"/>
    </row>
    <row r="237" spans="1:1">
      <c r="A237" s="37"/>
    </row>
    <row r="238" spans="1:1">
      <c r="A238" s="37"/>
    </row>
    <row r="239" spans="1:1">
      <c r="A239" s="37"/>
    </row>
    <row r="240" spans="1:1">
      <c r="A240" s="37"/>
    </row>
    <row r="241" spans="1:1">
      <c r="A241" s="37"/>
    </row>
    <row r="242" spans="1:1">
      <c r="A242" s="37"/>
    </row>
    <row r="243" spans="1:1">
      <c r="A243" s="37"/>
    </row>
    <row r="244" spans="1:1">
      <c r="A244" s="37"/>
    </row>
    <row r="245" spans="1:1">
      <c r="A245" s="37"/>
    </row>
    <row r="246" spans="1:1">
      <c r="A246" s="37"/>
    </row>
    <row r="247" spans="1:1">
      <c r="A247" s="37"/>
    </row>
    <row r="248" spans="1:1">
      <c r="A248" s="37"/>
    </row>
    <row r="249" spans="1:1">
      <c r="A249" s="37"/>
    </row>
    <row r="250" spans="1:1">
      <c r="A250" s="37"/>
    </row>
    <row r="251" spans="1:1">
      <c r="A251" s="37"/>
    </row>
    <row r="252" spans="1:1">
      <c r="A252" s="37"/>
    </row>
    <row r="253" spans="1:1">
      <c r="A253" s="37"/>
    </row>
    <row r="254" spans="1:1">
      <c r="A254" s="37"/>
    </row>
    <row r="255" spans="1:1">
      <c r="A255" s="37"/>
    </row>
    <row r="256" spans="1:1">
      <c r="A256" s="37"/>
    </row>
    <row r="257" spans="1:1">
      <c r="A257" s="37"/>
    </row>
    <row r="258" spans="1:1">
      <c r="A258" s="37"/>
    </row>
    <row r="259" spans="1:1">
      <c r="A259" s="37"/>
    </row>
    <row r="260" spans="1:1">
      <c r="A260" s="37"/>
    </row>
    <row r="261" spans="1:1">
      <c r="A261" s="37"/>
    </row>
    <row r="262" spans="1:1">
      <c r="A262" s="37"/>
    </row>
    <row r="263" spans="1:1">
      <c r="A263" s="37"/>
    </row>
    <row r="264" spans="1:1">
      <c r="A264" s="37"/>
    </row>
    <row r="265" spans="1:1">
      <c r="A265" s="37"/>
    </row>
    <row r="266" spans="1:1">
      <c r="A266" s="37"/>
    </row>
    <row r="267" spans="1:1">
      <c r="A267" s="37"/>
    </row>
    <row r="268" spans="1:1">
      <c r="A268" s="37"/>
    </row>
    <row r="269" spans="1:1">
      <c r="A269" s="37"/>
    </row>
    <row r="270" spans="1:1">
      <c r="A270" s="37"/>
    </row>
    <row r="271" spans="1:1">
      <c r="A271" s="37"/>
    </row>
    <row r="272" spans="1:1">
      <c r="A272" s="37"/>
    </row>
    <row r="273" spans="1:1">
      <c r="A273" s="37"/>
    </row>
    <row r="274" spans="1:1">
      <c r="A274" s="37"/>
    </row>
    <row r="275" spans="1:1">
      <c r="A275" s="37"/>
    </row>
    <row r="276" spans="1:1">
      <c r="A276" s="37"/>
    </row>
    <row r="277" spans="1:1">
      <c r="A277" s="37"/>
    </row>
    <row r="278" spans="1:1">
      <c r="A278" s="37"/>
    </row>
    <row r="279" spans="1:1">
      <c r="A279" s="37"/>
    </row>
    <row r="280" spans="1:1">
      <c r="A280" s="37"/>
    </row>
    <row r="281" spans="1:1">
      <c r="A281" s="37"/>
    </row>
    <row r="282" spans="1:1">
      <c r="A282" s="37"/>
    </row>
    <row r="283" spans="1:1">
      <c r="A283" s="37"/>
    </row>
    <row r="284" spans="1:1">
      <c r="A284" s="37"/>
    </row>
    <row r="285" spans="1:1">
      <c r="A285" s="37"/>
    </row>
    <row r="286" spans="1:1">
      <c r="A286" s="37"/>
    </row>
    <row r="287" spans="1:1">
      <c r="A287" s="37"/>
    </row>
    <row r="288" spans="1:1">
      <c r="A288" s="37"/>
    </row>
    <row r="289" spans="1:1">
      <c r="A289" s="37"/>
    </row>
    <row r="290" spans="1:1">
      <c r="A290" s="37"/>
    </row>
    <row r="291" spans="1:1">
      <c r="A291" s="37"/>
    </row>
    <row r="292" spans="1:1">
      <c r="A292" s="37"/>
    </row>
    <row r="293" spans="1:1">
      <c r="A293" s="37"/>
    </row>
    <row r="294" spans="1:1">
      <c r="A294" s="37"/>
    </row>
    <row r="295" spans="1:1">
      <c r="A295" s="37"/>
    </row>
    <row r="296" spans="1:1">
      <c r="A296" s="37"/>
    </row>
    <row r="297" spans="1:1">
      <c r="A297" s="37"/>
    </row>
    <row r="298" spans="1:1">
      <c r="A298" s="37"/>
    </row>
    <row r="299" spans="1:1">
      <c r="A299" s="37"/>
    </row>
    <row r="300" spans="1:1">
      <c r="A300" s="37"/>
    </row>
    <row r="301" spans="1:1">
      <c r="A301" s="37"/>
    </row>
    <row r="302" spans="1:1">
      <c r="A302" s="37"/>
    </row>
    <row r="303" spans="1:1">
      <c r="A303" s="37"/>
    </row>
    <row r="304" spans="1:1">
      <c r="A304" s="37"/>
    </row>
    <row r="305" spans="1:1">
      <c r="A305" s="37"/>
    </row>
    <row r="306" spans="1:1">
      <c r="A306" s="37"/>
    </row>
    <row r="307" spans="1:1">
      <c r="A307" s="37"/>
    </row>
    <row r="308" spans="1:1">
      <c r="A308" s="37"/>
    </row>
    <row r="309" spans="1:1">
      <c r="A309" s="37"/>
    </row>
    <row r="310" spans="1:1">
      <c r="A310" s="37"/>
    </row>
    <row r="311" spans="1:1">
      <c r="A311" s="37"/>
    </row>
    <row r="312" spans="1:1">
      <c r="A312" s="37"/>
    </row>
    <row r="313" spans="1:1">
      <c r="A313" s="37"/>
    </row>
    <row r="314" spans="1:1">
      <c r="A314" s="37"/>
    </row>
    <row r="315" spans="1:1">
      <c r="A315" s="37"/>
    </row>
    <row r="316" spans="1:1">
      <c r="A316" s="37"/>
    </row>
    <row r="317" spans="1:1">
      <c r="A317" s="37"/>
    </row>
    <row r="318" spans="1:1">
      <c r="A318" s="37"/>
    </row>
    <row r="319" spans="1:1">
      <c r="A319" s="37"/>
    </row>
    <row r="320" spans="1:1">
      <c r="A320" s="37"/>
    </row>
    <row r="321" spans="1:1">
      <c r="A321" s="37"/>
    </row>
    <row r="322" spans="1:1">
      <c r="A322" s="37"/>
    </row>
    <row r="323" spans="1:1">
      <c r="A323" s="37"/>
    </row>
    <row r="324" spans="1:1">
      <c r="A324" s="37"/>
    </row>
    <row r="325" spans="1:1">
      <c r="A325" s="37"/>
    </row>
    <row r="326" spans="1:1">
      <c r="A326" s="37"/>
    </row>
    <row r="327" spans="1:1">
      <c r="A327" s="37"/>
    </row>
    <row r="328" spans="1:1">
      <c r="A328" s="37"/>
    </row>
    <row r="329" spans="1:1">
      <c r="A329" s="37"/>
    </row>
    <row r="330" spans="1:1">
      <c r="A330" s="37"/>
    </row>
    <row r="331" spans="1:1">
      <c r="A331" s="37"/>
    </row>
    <row r="332" spans="1:1">
      <c r="A332" s="37"/>
    </row>
    <row r="333" spans="1:1">
      <c r="A333" s="37"/>
    </row>
    <row r="334" spans="1:1">
      <c r="A334" s="37"/>
    </row>
    <row r="335" spans="1:1">
      <c r="A335" s="37"/>
    </row>
  </sheetData>
  <mergeCells count="15">
    <mergeCell ref="A1:J1"/>
    <mergeCell ref="C3:C4"/>
    <mergeCell ref="C110:F110"/>
    <mergeCell ref="H110:J110"/>
    <mergeCell ref="A6:J6"/>
    <mergeCell ref="A97:J97"/>
    <mergeCell ref="B3:B4"/>
    <mergeCell ref="A3:A4"/>
    <mergeCell ref="D3:D4"/>
    <mergeCell ref="G3:J3"/>
    <mergeCell ref="E3:E4"/>
    <mergeCell ref="A100:J100"/>
    <mergeCell ref="C109:F109"/>
    <mergeCell ref="H109:J109"/>
    <mergeCell ref="F3:F4"/>
  </mergeCells>
  <phoneticPr fontId="0" type="noConversion"/>
  <pageMargins left="0.51181102362204722" right="0.19685039370078741" top="0.19685039370078741" bottom="0.19685039370078741" header="0.19685039370078741" footer="0.11811023622047245"/>
  <pageSetup paperSize="9" scale="65" orientation="portrait" verticalDpi="300" r:id="rId1"/>
  <headerFooter alignWithMargins="0">
    <oddHeader>&amp;C&amp;"Times New Roman,обычный"&amp;16 &amp;18 5&amp;R&amp;"Times New Roman,обычный"&amp;14 Продовження додатка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2:G191"/>
  <sheetViews>
    <sheetView view="pageBreakPreview" zoomScale="60" workbookViewId="0">
      <selection activeCell="D22" sqref="D22"/>
    </sheetView>
  </sheetViews>
  <sheetFormatPr defaultRowHeight="18.75"/>
  <cols>
    <col min="1" max="1" width="47.5703125" style="32" customWidth="1"/>
    <col min="2" max="2" width="9.5703125" style="304" customWidth="1"/>
    <col min="3" max="3" width="10.5703125" style="32" customWidth="1"/>
    <col min="4" max="4" width="10.7109375" style="32" customWidth="1"/>
    <col min="5" max="6" width="14.140625" style="32" customWidth="1"/>
    <col min="7" max="7" width="25.28515625" style="32" customWidth="1"/>
  </cols>
  <sheetData>
    <row r="2" spans="1:7">
      <c r="A2" s="547" t="s">
        <v>532</v>
      </c>
      <c r="B2" s="547"/>
      <c r="C2" s="547"/>
      <c r="D2" s="547"/>
      <c r="E2" s="547"/>
      <c r="F2" s="547"/>
      <c r="G2" s="547"/>
    </row>
    <row r="3" spans="1:7">
      <c r="A3" s="31"/>
      <c r="B3" s="73"/>
      <c r="C3" s="31"/>
      <c r="D3" s="31"/>
      <c r="E3" s="31"/>
      <c r="F3" s="31"/>
      <c r="G3" s="31"/>
    </row>
    <row r="4" spans="1:7" ht="18.75" customHeight="1">
      <c r="A4" s="497" t="s">
        <v>183</v>
      </c>
      <c r="B4" s="548" t="s">
        <v>5</v>
      </c>
      <c r="C4" s="500" t="s">
        <v>414</v>
      </c>
      <c r="D4" s="501"/>
      <c r="E4" s="501"/>
      <c r="F4" s="501"/>
      <c r="G4" s="552" t="s">
        <v>419</v>
      </c>
    </row>
    <row r="5" spans="1:7" ht="76.5" customHeight="1">
      <c r="A5" s="497"/>
      <c r="B5" s="549"/>
      <c r="C5" s="259" t="s">
        <v>412</v>
      </c>
      <c r="D5" s="259" t="s">
        <v>415</v>
      </c>
      <c r="E5" s="259" t="s">
        <v>416</v>
      </c>
      <c r="F5" s="441" t="s">
        <v>418</v>
      </c>
      <c r="G5" s="552"/>
    </row>
    <row r="6" spans="1:7">
      <c r="A6" s="38">
        <v>1</v>
      </c>
      <c r="B6" s="300">
        <v>2</v>
      </c>
      <c r="C6" s="231">
        <v>3</v>
      </c>
      <c r="D6" s="231">
        <v>4</v>
      </c>
      <c r="E6" s="231">
        <v>5</v>
      </c>
      <c r="F6" s="231">
        <v>6</v>
      </c>
      <c r="G6" s="231">
        <v>7</v>
      </c>
    </row>
    <row r="7" spans="1:7">
      <c r="A7" s="550" t="s">
        <v>113</v>
      </c>
      <c r="B7" s="550"/>
      <c r="C7" s="550"/>
      <c r="D7" s="550"/>
      <c r="E7" s="550"/>
      <c r="F7" s="550"/>
      <c r="G7" s="550"/>
    </row>
    <row r="8" spans="1:7" ht="56.25">
      <c r="A8" s="33" t="s">
        <v>42</v>
      </c>
      <c r="B8" s="235">
        <v>2000</v>
      </c>
      <c r="C8" s="88">
        <f>'2.1Розрахунки з бюджетом'!H8</f>
        <v>226.3</v>
      </c>
      <c r="D8" s="88">
        <v>254</v>
      </c>
      <c r="E8" s="88">
        <f>D8-C8</f>
        <v>27.699999999999989</v>
      </c>
      <c r="F8" s="88">
        <f>D8/C8*100</f>
        <v>112.24038886433935</v>
      </c>
      <c r="G8" s="290"/>
    </row>
    <row r="9" spans="1:7" ht="37.5">
      <c r="A9" s="33" t="s">
        <v>248</v>
      </c>
      <c r="B9" s="235">
        <v>2010</v>
      </c>
      <c r="C9" s="91"/>
      <c r="D9" s="92"/>
      <c r="E9" s="88"/>
      <c r="F9" s="88"/>
      <c r="G9" s="291"/>
    </row>
    <row r="10" spans="1:7" ht="21" customHeight="1">
      <c r="A10" s="8" t="s">
        <v>144</v>
      </c>
      <c r="B10" s="235">
        <v>2020</v>
      </c>
      <c r="C10" s="91"/>
      <c r="D10" s="92"/>
      <c r="E10" s="88"/>
      <c r="F10" s="88"/>
      <c r="G10" s="291"/>
    </row>
    <row r="11" spans="1:7">
      <c r="A11" s="33" t="s">
        <v>52</v>
      </c>
      <c r="B11" s="235">
        <v>2030</v>
      </c>
      <c r="C11" s="91"/>
      <c r="D11" s="91"/>
      <c r="E11" s="88"/>
      <c r="F11" s="88"/>
      <c r="G11" s="292"/>
    </row>
    <row r="12" spans="1:7" ht="37.5">
      <c r="A12" s="33" t="s">
        <v>101</v>
      </c>
      <c r="B12" s="235">
        <v>2031</v>
      </c>
      <c r="C12" s="91"/>
      <c r="D12" s="91"/>
      <c r="E12" s="88"/>
      <c r="F12" s="88"/>
      <c r="G12" s="292" t="s">
        <v>370</v>
      </c>
    </row>
    <row r="13" spans="1:7">
      <c r="A13" s="33" t="s">
        <v>9</v>
      </c>
      <c r="B13" s="235">
        <v>2040</v>
      </c>
      <c r="C13" s="91"/>
      <c r="D13" s="91"/>
      <c r="E13" s="88"/>
      <c r="F13" s="88"/>
      <c r="G13" s="292"/>
    </row>
    <row r="14" spans="1:7">
      <c r="A14" s="33" t="s">
        <v>88</v>
      </c>
      <c r="B14" s="235">
        <v>2050</v>
      </c>
      <c r="C14" s="91"/>
      <c r="D14" s="91"/>
      <c r="E14" s="88"/>
      <c r="F14" s="88"/>
      <c r="G14" s="292"/>
    </row>
    <row r="15" spans="1:7">
      <c r="A15" s="33" t="s">
        <v>89</v>
      </c>
      <c r="B15" s="235">
        <v>2060</v>
      </c>
      <c r="C15" s="91"/>
      <c r="D15" s="91"/>
      <c r="E15" s="88"/>
      <c r="F15" s="88"/>
      <c r="G15" s="292"/>
    </row>
    <row r="16" spans="1:7" ht="56.25">
      <c r="A16" s="33" t="s">
        <v>43</v>
      </c>
      <c r="B16" s="235">
        <v>2070</v>
      </c>
      <c r="C16" s="91">
        <f>'2.1Розрахунки з бюджетом'!H16</f>
        <v>236.3</v>
      </c>
      <c r="D16" s="91">
        <v>271</v>
      </c>
      <c r="E16" s="91">
        <f>D16-C16</f>
        <v>34.699999999999989</v>
      </c>
      <c r="F16" s="88">
        <f>D16/C16*100</f>
        <v>114.68472280998729</v>
      </c>
      <c r="G16" s="292"/>
    </row>
    <row r="17" spans="1:7">
      <c r="A17" s="550" t="s">
        <v>426</v>
      </c>
      <c r="B17" s="550"/>
      <c r="C17" s="550"/>
      <c r="D17" s="550"/>
      <c r="E17" s="550"/>
      <c r="F17" s="550"/>
      <c r="G17" s="550"/>
    </row>
    <row r="18" spans="1:7" ht="37.5">
      <c r="A18" s="33" t="s">
        <v>248</v>
      </c>
      <c r="B18" s="235">
        <v>2100</v>
      </c>
      <c r="C18" s="91">
        <f>'2.1Розрахунки з бюджетом'!G18+'2.1Розрахунки з бюджетом'!H18</f>
        <v>2.532213999999998</v>
      </c>
      <c r="D18" s="91">
        <v>3.1</v>
      </c>
      <c r="E18" s="91">
        <f>D18-C18</f>
        <v>0.56778600000000212</v>
      </c>
      <c r="F18" s="91">
        <f>D18/C18*100</f>
        <v>122.42251247327447</v>
      </c>
      <c r="G18" s="291"/>
    </row>
    <row r="19" spans="1:7" ht="19.5" customHeight="1">
      <c r="A19" s="33" t="s">
        <v>115</v>
      </c>
      <c r="B19" s="300">
        <v>2110</v>
      </c>
      <c r="C19" s="91">
        <f>'2.1Розрахунки з бюджетом'!G19+'2.1Розрахунки з бюджетом'!H19</f>
        <v>3.6064800000000345</v>
      </c>
      <c r="D19" s="91">
        <f>'1.Фінансовий результат'!D94</f>
        <v>5</v>
      </c>
      <c r="E19" s="91">
        <f t="shared" ref="E19:E38" si="0">D19-C19</f>
        <v>1.3935199999999655</v>
      </c>
      <c r="F19" s="91">
        <f t="shared" ref="F19:F38" si="1">D19/C19*100</f>
        <v>138.63933808034295</v>
      </c>
      <c r="G19" s="292"/>
    </row>
    <row r="20" spans="1:7" ht="54.75" customHeight="1">
      <c r="A20" s="33" t="s">
        <v>220</v>
      </c>
      <c r="B20" s="300">
        <v>2120</v>
      </c>
      <c r="C20" s="91">
        <f>'2.1Розрахунки з бюджетом'!G20+'2.1Розрахунки з бюджетом'!H20</f>
        <v>49.349999999999994</v>
      </c>
      <c r="D20" s="438">
        <v>48</v>
      </c>
      <c r="E20" s="91">
        <f t="shared" si="0"/>
        <v>-1.3499999999999943</v>
      </c>
      <c r="F20" s="91">
        <f t="shared" si="1"/>
        <v>97.264437689969611</v>
      </c>
      <c r="G20" s="291"/>
    </row>
    <row r="21" spans="1:7" ht="61.5" customHeight="1">
      <c r="A21" s="33" t="s">
        <v>221</v>
      </c>
      <c r="B21" s="300">
        <v>2130</v>
      </c>
      <c r="C21" s="91">
        <f>'2.1Розрахунки з бюджетом'!G21+'2.1Розрахунки з бюджетом'!H21</f>
        <v>0</v>
      </c>
      <c r="D21" s="92"/>
      <c r="E21" s="91">
        <f t="shared" si="0"/>
        <v>0</v>
      </c>
      <c r="F21" s="305" t="e">
        <f t="shared" si="1"/>
        <v>#DIV/0!</v>
      </c>
      <c r="G21" s="291"/>
    </row>
    <row r="22" spans="1:7" ht="56.25" customHeight="1">
      <c r="A22" s="229" t="s">
        <v>175</v>
      </c>
      <c r="B22" s="301">
        <v>2140</v>
      </c>
      <c r="C22" s="88">
        <f>C26+C31</f>
        <v>768.12900000000002</v>
      </c>
      <c r="D22" s="88">
        <f>D26+D31</f>
        <v>939.8</v>
      </c>
      <c r="E22" s="91">
        <f t="shared" si="0"/>
        <v>171.67099999999994</v>
      </c>
      <c r="F22" s="91">
        <f t="shared" si="1"/>
        <v>122.34924081762306</v>
      </c>
      <c r="G22" s="290"/>
    </row>
    <row r="23" spans="1:7">
      <c r="A23" s="33" t="s">
        <v>64</v>
      </c>
      <c r="B23" s="300">
        <v>2141</v>
      </c>
      <c r="C23" s="91"/>
      <c r="D23" s="92"/>
      <c r="E23" s="91"/>
      <c r="F23" s="91"/>
      <c r="G23" s="291"/>
    </row>
    <row r="24" spans="1:7" ht="23.25" customHeight="1">
      <c r="A24" s="33" t="s">
        <v>81</v>
      </c>
      <c r="B24" s="300">
        <v>2142</v>
      </c>
      <c r="C24" s="91"/>
      <c r="D24" s="92"/>
      <c r="E24" s="91"/>
      <c r="F24" s="91"/>
      <c r="G24" s="291"/>
    </row>
    <row r="25" spans="1:7">
      <c r="A25" s="33" t="s">
        <v>77</v>
      </c>
      <c r="B25" s="300">
        <v>2143</v>
      </c>
      <c r="C25" s="91"/>
      <c r="D25" s="92"/>
      <c r="E25" s="91"/>
      <c r="F25" s="91"/>
      <c r="G25" s="291"/>
    </row>
    <row r="26" spans="1:7" ht="23.25" customHeight="1">
      <c r="A26" s="33" t="s">
        <v>62</v>
      </c>
      <c r="B26" s="300">
        <v>2144</v>
      </c>
      <c r="C26" s="91">
        <f>'2.1Розрахунки з бюджетом'!G26+'2.1Розрахунки з бюджетом'!H26</f>
        <v>651.99599999999998</v>
      </c>
      <c r="D26" s="91">
        <v>824</v>
      </c>
      <c r="E26" s="91">
        <f t="shared" si="0"/>
        <v>172.00400000000002</v>
      </c>
      <c r="F26" s="91">
        <f t="shared" si="1"/>
        <v>126.3811434425978</v>
      </c>
      <c r="G26" s="291"/>
    </row>
    <row r="27" spans="1:7" ht="37.5">
      <c r="A27" s="33" t="s">
        <v>128</v>
      </c>
      <c r="B27" s="300">
        <v>2145</v>
      </c>
      <c r="C27" s="91"/>
      <c r="D27" s="91"/>
      <c r="E27" s="91"/>
      <c r="F27" s="91"/>
      <c r="G27" s="292"/>
    </row>
    <row r="28" spans="1:7" ht="75" customHeight="1">
      <c r="A28" s="33" t="s">
        <v>180</v>
      </c>
      <c r="B28" s="300" t="s">
        <v>165</v>
      </c>
      <c r="C28" s="91"/>
      <c r="D28" s="92"/>
      <c r="E28" s="91"/>
      <c r="F28" s="91"/>
      <c r="G28" s="291"/>
    </row>
    <row r="29" spans="1:7">
      <c r="A29" s="33" t="s">
        <v>10</v>
      </c>
      <c r="B29" s="300" t="s">
        <v>166</v>
      </c>
      <c r="C29" s="91"/>
      <c r="D29" s="92"/>
      <c r="E29" s="91"/>
      <c r="F29" s="91"/>
      <c r="G29" s="291"/>
    </row>
    <row r="30" spans="1:7" ht="37.5">
      <c r="A30" s="33" t="s">
        <v>91</v>
      </c>
      <c r="B30" s="300">
        <v>2146</v>
      </c>
      <c r="C30" s="91"/>
      <c r="D30" s="91"/>
      <c r="E30" s="91"/>
      <c r="F30" s="91"/>
      <c r="G30" s="292"/>
    </row>
    <row r="31" spans="1:7">
      <c r="A31" s="229" t="s">
        <v>68</v>
      </c>
      <c r="B31" s="300">
        <v>2147</v>
      </c>
      <c r="C31" s="88">
        <f>C32+C33+C34+C35+C36</f>
        <v>116.13300000000001</v>
      </c>
      <c r="D31" s="439">
        <f>D32+D33+D34+D35+D36</f>
        <v>115.80000000000001</v>
      </c>
      <c r="E31" s="88">
        <f t="shared" si="0"/>
        <v>-0.33299999999999841</v>
      </c>
      <c r="F31" s="88">
        <f t="shared" si="1"/>
        <v>99.713259796956947</v>
      </c>
      <c r="G31" s="292"/>
    </row>
    <row r="32" spans="1:7">
      <c r="A32" s="297" t="s">
        <v>427</v>
      </c>
      <c r="B32" s="302" t="s">
        <v>351</v>
      </c>
      <c r="C32" s="92">
        <f>'2.1Розрахунки з бюджетом'!G32+'2.1Розрахунки з бюджетом'!H32</f>
        <v>1.2</v>
      </c>
      <c r="D32" s="92">
        <v>3.1</v>
      </c>
      <c r="E32" s="92">
        <f t="shared" si="0"/>
        <v>1.9000000000000001</v>
      </c>
      <c r="F32" s="92">
        <f t="shared" si="1"/>
        <v>258.33333333333337</v>
      </c>
      <c r="G32" s="292"/>
    </row>
    <row r="33" spans="1:7" ht="16.5" customHeight="1">
      <c r="A33" s="269" t="s">
        <v>428</v>
      </c>
      <c r="B33" s="302" t="s">
        <v>352</v>
      </c>
      <c r="C33" s="92">
        <f>'2.1Розрахунки з бюджетом'!G33+'2.1Розрахунки з бюджетом'!H33</f>
        <v>60</v>
      </c>
      <c r="D33" s="440">
        <f>'1.Фінансовий результат'!D86</f>
        <v>32.1</v>
      </c>
      <c r="E33" s="92">
        <f t="shared" si="0"/>
        <v>-27.9</v>
      </c>
      <c r="F33" s="92">
        <f t="shared" si="1"/>
        <v>53.5</v>
      </c>
      <c r="G33" s="292"/>
    </row>
    <row r="34" spans="1:7">
      <c r="A34" s="269" t="s">
        <v>354</v>
      </c>
      <c r="B34" s="302" t="s">
        <v>353</v>
      </c>
      <c r="C34" s="92">
        <f>'2.1Розрахунки з бюджетом'!G34+'2.1Розрахунки з бюджетом'!H34</f>
        <v>0.4</v>
      </c>
      <c r="D34" s="92">
        <f>'1.Фінансовий результат'!D87</f>
        <v>0.6</v>
      </c>
      <c r="E34" s="92">
        <f t="shared" si="0"/>
        <v>0.19999999999999996</v>
      </c>
      <c r="F34" s="92">
        <f t="shared" si="1"/>
        <v>149.99999999999997</v>
      </c>
      <c r="G34" s="292"/>
    </row>
    <row r="35" spans="1:7">
      <c r="A35" s="269" t="s">
        <v>429</v>
      </c>
      <c r="B35" s="302" t="s">
        <v>356</v>
      </c>
      <c r="C35" s="92">
        <f>'2.1Розрахунки з бюджетом'!G35+'2.1Розрахунки з бюджетом'!H35</f>
        <v>0.2</v>
      </c>
      <c r="D35" s="92">
        <f>'1.Фінансовий результат'!D85</f>
        <v>0</v>
      </c>
      <c r="E35" s="92">
        <f t="shared" si="0"/>
        <v>-0.2</v>
      </c>
      <c r="F35" s="92">
        <f t="shared" si="1"/>
        <v>0</v>
      </c>
      <c r="G35" s="292"/>
    </row>
    <row r="36" spans="1:7">
      <c r="A36" s="297" t="s">
        <v>358</v>
      </c>
      <c r="B36" s="302" t="s">
        <v>357</v>
      </c>
      <c r="C36" s="92">
        <f>'2.1Розрахунки з бюджетом'!G36+'2.1Розрахунки з бюджетом'!H36</f>
        <v>54.333000000000006</v>
      </c>
      <c r="D36" s="92">
        <v>80</v>
      </c>
      <c r="E36" s="92">
        <f t="shared" si="0"/>
        <v>25.666999999999994</v>
      </c>
      <c r="F36" s="92">
        <f t="shared" si="1"/>
        <v>147.24016711758966</v>
      </c>
      <c r="G36" s="292"/>
    </row>
    <row r="37" spans="1:7" ht="45" customHeight="1">
      <c r="A37" s="33" t="s">
        <v>526</v>
      </c>
      <c r="B37" s="300">
        <v>2150</v>
      </c>
      <c r="C37" s="91">
        <f>'2.1Розрахунки з бюджетом'!G37+'2.1Розрахунки з бюджетом'!H37</f>
        <v>796.76400000000001</v>
      </c>
      <c r="D37" s="91">
        <f>'1.Фінансовий результат'!D105</f>
        <v>933.99999999999989</v>
      </c>
      <c r="E37" s="91">
        <f t="shared" si="0"/>
        <v>137.23599999999988</v>
      </c>
      <c r="F37" s="91">
        <f t="shared" si="1"/>
        <v>117.22417177482917</v>
      </c>
      <c r="G37" s="292"/>
    </row>
    <row r="38" spans="1:7" ht="37.5">
      <c r="A38" s="293" t="s">
        <v>185</v>
      </c>
      <c r="B38" s="303">
        <v>2200</v>
      </c>
      <c r="C38" s="294">
        <f>C37+C22+C20+C19+C18</f>
        <v>1620.3816940000002</v>
      </c>
      <c r="D38" s="294">
        <f>D37+D22+D21+D20+D19+D18</f>
        <v>1929.8999999999996</v>
      </c>
      <c r="E38" s="294">
        <f t="shared" si="0"/>
        <v>309.51830599999948</v>
      </c>
      <c r="F38" s="294">
        <f t="shared" si="1"/>
        <v>119.10156768285482</v>
      </c>
      <c r="G38" s="295"/>
    </row>
    <row r="39" spans="1:7">
      <c r="A39" s="48"/>
      <c r="C39" s="46"/>
      <c r="D39" s="47"/>
      <c r="E39" s="47"/>
      <c r="F39" s="47"/>
      <c r="G39" s="47"/>
    </row>
    <row r="40" spans="1:7" ht="30.75" customHeight="1">
      <c r="A40" s="298" t="s">
        <v>417</v>
      </c>
      <c r="B40" s="510" t="s">
        <v>430</v>
      </c>
      <c r="C40" s="510"/>
      <c r="D40" s="12"/>
      <c r="E40" s="551" t="s">
        <v>433</v>
      </c>
      <c r="F40" s="551"/>
      <c r="G40" s="551"/>
    </row>
    <row r="41" spans="1:7" s="264" customFormat="1" ht="12.75">
      <c r="A41" s="271" t="s">
        <v>431</v>
      </c>
      <c r="B41" s="503" t="s">
        <v>59</v>
      </c>
      <c r="C41" s="503"/>
      <c r="D41" s="273"/>
      <c r="E41" s="504" t="s">
        <v>432</v>
      </c>
      <c r="F41" s="504"/>
      <c r="G41" s="504"/>
    </row>
    <row r="42" spans="1:7">
      <c r="A42" s="44"/>
    </row>
    <row r="43" spans="1:7">
      <c r="A43" s="44"/>
    </row>
    <row r="44" spans="1:7">
      <c r="A44" s="44"/>
    </row>
    <row r="45" spans="1:7">
      <c r="A45" s="44"/>
    </row>
    <row r="46" spans="1:7">
      <c r="A46" s="44"/>
    </row>
    <row r="47" spans="1:7">
      <c r="A47" s="44"/>
    </row>
    <row r="48" spans="1:7">
      <c r="A48" s="44"/>
    </row>
    <row r="49" spans="1:1">
      <c r="A49" s="44"/>
    </row>
    <row r="50" spans="1:1">
      <c r="A50" s="44"/>
    </row>
    <row r="51" spans="1:1">
      <c r="A51" s="44"/>
    </row>
    <row r="52" spans="1:1">
      <c r="A52" s="44"/>
    </row>
    <row r="53" spans="1:1">
      <c r="A53" s="44"/>
    </row>
    <row r="54" spans="1:1">
      <c r="A54" s="44"/>
    </row>
    <row r="55" spans="1:1">
      <c r="A55" s="44"/>
    </row>
    <row r="56" spans="1:1">
      <c r="A56" s="44"/>
    </row>
    <row r="57" spans="1:1">
      <c r="A57" s="44"/>
    </row>
    <row r="58" spans="1:1">
      <c r="A58" s="44"/>
    </row>
    <row r="59" spans="1:1">
      <c r="A59" s="44"/>
    </row>
    <row r="60" spans="1:1">
      <c r="A60" s="44"/>
    </row>
    <row r="61" spans="1:1">
      <c r="A61" s="44"/>
    </row>
    <row r="62" spans="1:1">
      <c r="A62" s="44"/>
    </row>
    <row r="63" spans="1:1">
      <c r="A63" s="44"/>
    </row>
    <row r="64" spans="1:1">
      <c r="A64" s="44"/>
    </row>
    <row r="65" spans="1:1">
      <c r="A65" s="44"/>
    </row>
    <row r="66" spans="1:1">
      <c r="A66" s="44"/>
    </row>
    <row r="67" spans="1:1">
      <c r="A67" s="44"/>
    </row>
    <row r="68" spans="1:1">
      <c r="A68" s="44"/>
    </row>
    <row r="69" spans="1:1">
      <c r="A69" s="44"/>
    </row>
    <row r="70" spans="1:1">
      <c r="A70" s="44"/>
    </row>
    <row r="71" spans="1:1">
      <c r="A71" s="44"/>
    </row>
    <row r="72" spans="1:1">
      <c r="A72" s="44"/>
    </row>
    <row r="73" spans="1:1">
      <c r="A73" s="44"/>
    </row>
    <row r="74" spans="1:1">
      <c r="A74" s="44"/>
    </row>
    <row r="75" spans="1:1">
      <c r="A75" s="44"/>
    </row>
    <row r="76" spans="1:1">
      <c r="A76" s="44"/>
    </row>
    <row r="77" spans="1:1">
      <c r="A77" s="44"/>
    </row>
    <row r="78" spans="1:1">
      <c r="A78" s="44"/>
    </row>
    <row r="79" spans="1:1">
      <c r="A79" s="44"/>
    </row>
    <row r="80" spans="1:1">
      <c r="A80" s="44"/>
    </row>
    <row r="81" spans="1:1">
      <c r="A81" s="44"/>
    </row>
    <row r="82" spans="1:1">
      <c r="A82" s="44"/>
    </row>
    <row r="83" spans="1:1">
      <c r="A83" s="44"/>
    </row>
    <row r="84" spans="1:1">
      <c r="A84" s="44"/>
    </row>
    <row r="85" spans="1:1">
      <c r="A85" s="44"/>
    </row>
    <row r="86" spans="1:1">
      <c r="A86" s="44"/>
    </row>
    <row r="87" spans="1:1">
      <c r="A87" s="44"/>
    </row>
    <row r="88" spans="1:1">
      <c r="A88" s="44"/>
    </row>
    <row r="89" spans="1:1">
      <c r="A89" s="44"/>
    </row>
    <row r="90" spans="1:1">
      <c r="A90" s="44"/>
    </row>
    <row r="91" spans="1:1">
      <c r="A91" s="44"/>
    </row>
    <row r="92" spans="1:1">
      <c r="A92" s="44"/>
    </row>
    <row r="93" spans="1:1">
      <c r="A93" s="44"/>
    </row>
    <row r="94" spans="1:1">
      <c r="A94" s="44"/>
    </row>
    <row r="95" spans="1:1">
      <c r="A95" s="44"/>
    </row>
    <row r="96" spans="1:1">
      <c r="A96" s="44"/>
    </row>
    <row r="97" spans="1:1">
      <c r="A97" s="44"/>
    </row>
    <row r="98" spans="1:1">
      <c r="A98" s="44"/>
    </row>
    <row r="99" spans="1:1">
      <c r="A99" s="44"/>
    </row>
    <row r="100" spans="1:1">
      <c r="A100" s="44"/>
    </row>
    <row r="101" spans="1:1">
      <c r="A101" s="44"/>
    </row>
    <row r="102" spans="1:1">
      <c r="A102" s="44"/>
    </row>
    <row r="103" spans="1:1">
      <c r="A103" s="44"/>
    </row>
    <row r="104" spans="1:1">
      <c r="A104" s="44"/>
    </row>
    <row r="105" spans="1:1">
      <c r="A105" s="44"/>
    </row>
    <row r="106" spans="1:1">
      <c r="A106" s="44"/>
    </row>
    <row r="107" spans="1:1">
      <c r="A107" s="44"/>
    </row>
    <row r="108" spans="1:1">
      <c r="A108" s="44"/>
    </row>
    <row r="109" spans="1:1">
      <c r="A109" s="44"/>
    </row>
    <row r="110" spans="1:1">
      <c r="A110" s="44"/>
    </row>
    <row r="111" spans="1:1">
      <c r="A111" s="44"/>
    </row>
    <row r="112" spans="1:1">
      <c r="A112" s="44"/>
    </row>
    <row r="113" spans="1:1">
      <c r="A113" s="44"/>
    </row>
    <row r="114" spans="1:1">
      <c r="A114" s="44"/>
    </row>
    <row r="115" spans="1:1">
      <c r="A115" s="44"/>
    </row>
    <row r="116" spans="1:1">
      <c r="A116" s="44"/>
    </row>
    <row r="117" spans="1:1">
      <c r="A117" s="44"/>
    </row>
    <row r="118" spans="1:1">
      <c r="A118" s="44"/>
    </row>
    <row r="119" spans="1:1">
      <c r="A119" s="44"/>
    </row>
    <row r="120" spans="1:1">
      <c r="A120" s="44"/>
    </row>
    <row r="121" spans="1:1">
      <c r="A121" s="44"/>
    </row>
    <row r="122" spans="1:1">
      <c r="A122" s="44"/>
    </row>
    <row r="123" spans="1:1">
      <c r="A123" s="44"/>
    </row>
    <row r="124" spans="1:1">
      <c r="A124" s="44"/>
    </row>
    <row r="125" spans="1:1">
      <c r="A125" s="44"/>
    </row>
    <row r="126" spans="1:1">
      <c r="A126" s="44"/>
    </row>
    <row r="127" spans="1:1">
      <c r="A127" s="44"/>
    </row>
    <row r="128" spans="1:1">
      <c r="A128" s="44"/>
    </row>
    <row r="129" spans="1:1">
      <c r="A129" s="44"/>
    </row>
    <row r="130" spans="1:1">
      <c r="A130" s="44"/>
    </row>
    <row r="131" spans="1:1">
      <c r="A131" s="44"/>
    </row>
    <row r="132" spans="1:1">
      <c r="A132" s="44"/>
    </row>
    <row r="133" spans="1:1">
      <c r="A133" s="44"/>
    </row>
    <row r="134" spans="1:1">
      <c r="A134" s="44"/>
    </row>
    <row r="135" spans="1:1">
      <c r="A135" s="44"/>
    </row>
    <row r="136" spans="1:1">
      <c r="A136" s="44"/>
    </row>
    <row r="137" spans="1:1">
      <c r="A137" s="44"/>
    </row>
    <row r="138" spans="1:1">
      <c r="A138" s="44"/>
    </row>
    <row r="139" spans="1:1">
      <c r="A139" s="44"/>
    </row>
    <row r="140" spans="1:1">
      <c r="A140" s="44"/>
    </row>
    <row r="141" spans="1:1">
      <c r="A141" s="44"/>
    </row>
    <row r="142" spans="1:1">
      <c r="A142" s="44"/>
    </row>
    <row r="143" spans="1:1">
      <c r="A143" s="44"/>
    </row>
    <row r="144" spans="1:1">
      <c r="A144" s="44"/>
    </row>
    <row r="145" spans="1:1">
      <c r="A145" s="44"/>
    </row>
    <row r="146" spans="1:1">
      <c r="A146" s="44"/>
    </row>
    <row r="147" spans="1:1">
      <c r="A147" s="44"/>
    </row>
    <row r="148" spans="1:1">
      <c r="A148" s="44"/>
    </row>
    <row r="149" spans="1:1">
      <c r="A149" s="44"/>
    </row>
    <row r="150" spans="1:1">
      <c r="A150" s="44"/>
    </row>
    <row r="151" spans="1:1">
      <c r="A151" s="44"/>
    </row>
    <row r="152" spans="1:1">
      <c r="A152" s="44"/>
    </row>
    <row r="153" spans="1:1">
      <c r="A153" s="44"/>
    </row>
    <row r="154" spans="1:1">
      <c r="A154" s="44"/>
    </row>
    <row r="155" spans="1:1">
      <c r="A155" s="44"/>
    </row>
    <row r="156" spans="1:1">
      <c r="A156" s="44"/>
    </row>
    <row r="157" spans="1:1">
      <c r="A157" s="44"/>
    </row>
    <row r="158" spans="1:1">
      <c r="A158" s="44"/>
    </row>
    <row r="159" spans="1:1">
      <c r="A159" s="44"/>
    </row>
    <row r="160" spans="1:1">
      <c r="A160" s="44"/>
    </row>
    <row r="161" spans="1:1">
      <c r="A161" s="44"/>
    </row>
    <row r="162" spans="1:1">
      <c r="A162" s="44"/>
    </row>
    <row r="163" spans="1:1">
      <c r="A163" s="44"/>
    </row>
    <row r="164" spans="1:1">
      <c r="A164" s="44"/>
    </row>
    <row r="165" spans="1:1">
      <c r="A165" s="44"/>
    </row>
    <row r="166" spans="1:1">
      <c r="A166" s="44"/>
    </row>
    <row r="167" spans="1:1">
      <c r="A167" s="44"/>
    </row>
    <row r="168" spans="1:1">
      <c r="A168" s="44"/>
    </row>
    <row r="169" spans="1:1">
      <c r="A169" s="44"/>
    </row>
    <row r="170" spans="1:1">
      <c r="A170" s="44"/>
    </row>
    <row r="171" spans="1:1">
      <c r="A171" s="44"/>
    </row>
    <row r="172" spans="1:1">
      <c r="A172" s="44"/>
    </row>
    <row r="173" spans="1:1">
      <c r="A173" s="44"/>
    </row>
    <row r="174" spans="1:1">
      <c r="A174" s="44"/>
    </row>
    <row r="175" spans="1:1">
      <c r="A175" s="44"/>
    </row>
    <row r="176" spans="1:1">
      <c r="A176" s="44"/>
    </row>
    <row r="177" spans="1:1">
      <c r="A177" s="44"/>
    </row>
    <row r="178" spans="1:1">
      <c r="A178" s="44"/>
    </row>
    <row r="179" spans="1:1">
      <c r="A179" s="44"/>
    </row>
    <row r="180" spans="1:1">
      <c r="A180" s="44"/>
    </row>
    <row r="181" spans="1:1">
      <c r="A181" s="44"/>
    </row>
    <row r="182" spans="1:1">
      <c r="A182" s="44"/>
    </row>
    <row r="183" spans="1:1">
      <c r="A183" s="44"/>
    </row>
    <row r="184" spans="1:1">
      <c r="A184" s="44"/>
    </row>
    <row r="185" spans="1:1">
      <c r="A185" s="44"/>
    </row>
    <row r="186" spans="1:1">
      <c r="A186" s="44"/>
    </row>
    <row r="187" spans="1:1">
      <c r="A187" s="44"/>
    </row>
    <row r="188" spans="1:1">
      <c r="A188" s="44"/>
    </row>
    <row r="189" spans="1:1">
      <c r="A189" s="44"/>
    </row>
    <row r="190" spans="1:1">
      <c r="A190" s="44"/>
    </row>
    <row r="191" spans="1:1">
      <c r="A191" s="44"/>
    </row>
  </sheetData>
  <mergeCells count="11">
    <mergeCell ref="B40:C40"/>
    <mergeCell ref="E40:G40"/>
    <mergeCell ref="B41:C41"/>
    <mergeCell ref="E41:G41"/>
    <mergeCell ref="C4:F4"/>
    <mergeCell ref="G4:G5"/>
    <mergeCell ref="A2:G2"/>
    <mergeCell ref="A4:A5"/>
    <mergeCell ref="B4:B5"/>
    <mergeCell ref="A7:G7"/>
    <mergeCell ref="A17:G17"/>
  </mergeCells>
  <printOptions horizontalCentered="1"/>
  <pageMargins left="0.70866141732283472" right="0.70866141732283472" top="0.47" bottom="0.38" header="0.31496062992125984" footer="0.31496062992125984"/>
  <pageSetup paperSize="9" scale="6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L192"/>
  <sheetViews>
    <sheetView view="pageBreakPreview" zoomScale="75" zoomScaleNormal="75" zoomScaleSheetLayoutView="75" workbookViewId="0">
      <selection activeCell="C1" sqref="C1:E1048576"/>
    </sheetView>
  </sheetViews>
  <sheetFormatPr defaultColWidth="77.85546875" defaultRowHeight="18.75" outlineLevelRow="1" outlineLevelCol="1"/>
  <cols>
    <col min="1" max="1" width="42" style="32" customWidth="1"/>
    <col min="2" max="2" width="10.7109375" style="35" customWidth="1"/>
    <col min="3" max="3" width="12.7109375" style="35" hidden="1" customWidth="1" outlineLevel="1"/>
    <col min="4" max="4" width="14.42578125" style="35" hidden="1" customWidth="1" outlineLevel="1"/>
    <col min="5" max="5" width="12.28515625" style="35" hidden="1" customWidth="1" outlineLevel="1"/>
    <col min="6" max="6" width="13.42578125" style="32" customWidth="1" collapsed="1"/>
    <col min="7" max="7" width="12.7109375" style="32" customWidth="1"/>
    <col min="8" max="8" width="12.140625" style="32" customWidth="1"/>
    <col min="9" max="9" width="12.85546875" style="32" customWidth="1"/>
    <col min="10" max="10" width="14.140625" style="32" customWidth="1"/>
    <col min="11" max="11" width="10" style="32" customWidth="1"/>
    <col min="12" max="12" width="9.5703125" style="32" customWidth="1"/>
    <col min="13" max="255" width="9.140625" style="32" customWidth="1"/>
    <col min="256" max="16384" width="77.85546875" style="32"/>
  </cols>
  <sheetData>
    <row r="2" spans="1:10">
      <c r="A2" s="547" t="s">
        <v>116</v>
      </c>
      <c r="B2" s="547"/>
      <c r="C2" s="547"/>
      <c r="D2" s="547"/>
      <c r="E2" s="547"/>
      <c r="F2" s="547"/>
      <c r="G2" s="547"/>
      <c r="H2" s="547"/>
      <c r="I2" s="547"/>
      <c r="J2" s="547"/>
    </row>
    <row r="3" spans="1:10" outlineLevel="1">
      <c r="A3" s="31"/>
      <c r="B3" s="40"/>
      <c r="C3" s="31"/>
      <c r="D3" s="31"/>
      <c r="E3" s="31"/>
      <c r="F3" s="31"/>
      <c r="G3" s="31"/>
      <c r="H3" s="31"/>
      <c r="I3" s="31"/>
      <c r="J3" s="31"/>
    </row>
    <row r="4" spans="1:10" ht="38.25" customHeight="1">
      <c r="A4" s="497" t="s">
        <v>183</v>
      </c>
      <c r="B4" s="553" t="s">
        <v>5</v>
      </c>
      <c r="C4" s="553" t="s">
        <v>380</v>
      </c>
      <c r="D4" s="553" t="s">
        <v>381</v>
      </c>
      <c r="E4" s="553" t="s">
        <v>379</v>
      </c>
      <c r="F4" s="554" t="s">
        <v>384</v>
      </c>
      <c r="G4" s="555" t="s">
        <v>267</v>
      </c>
      <c r="H4" s="555"/>
      <c r="I4" s="555"/>
      <c r="J4" s="555"/>
    </row>
    <row r="5" spans="1:10" ht="38.25" customHeight="1">
      <c r="A5" s="497"/>
      <c r="B5" s="553"/>
      <c r="C5" s="553"/>
      <c r="D5" s="553"/>
      <c r="E5" s="553"/>
      <c r="F5" s="554"/>
      <c r="G5" s="13" t="s">
        <v>141</v>
      </c>
      <c r="H5" s="13" t="s">
        <v>142</v>
      </c>
      <c r="I5" s="13" t="s">
        <v>143</v>
      </c>
      <c r="J5" s="13" t="s">
        <v>55</v>
      </c>
    </row>
    <row r="6" spans="1:10" ht="18" customHeight="1">
      <c r="A6" s="38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</row>
    <row r="7" spans="1:10" ht="24.95" customHeight="1">
      <c r="A7" s="550" t="s">
        <v>113</v>
      </c>
      <c r="B7" s="550"/>
      <c r="C7" s="550"/>
      <c r="D7" s="550"/>
      <c r="E7" s="550"/>
      <c r="F7" s="550"/>
      <c r="G7" s="550"/>
      <c r="H7" s="550"/>
      <c r="I7" s="550"/>
      <c r="J7" s="550"/>
    </row>
    <row r="8" spans="1:10" ht="56.25" customHeight="1">
      <c r="A8" s="33" t="s">
        <v>42</v>
      </c>
      <c r="B8" s="7">
        <v>2000</v>
      </c>
      <c r="C8" s="88">
        <v>201</v>
      </c>
      <c r="D8" s="88">
        <v>201</v>
      </c>
      <c r="E8" s="88">
        <v>224</v>
      </c>
      <c r="F8" s="88">
        <v>216.3</v>
      </c>
      <c r="G8" s="88">
        <v>216.3</v>
      </c>
      <c r="H8" s="88">
        <v>226.3</v>
      </c>
      <c r="I8" s="88">
        <v>236.3</v>
      </c>
      <c r="J8" s="88">
        <v>246.3</v>
      </c>
    </row>
    <row r="9" spans="1:10" ht="40.5" customHeight="1">
      <c r="A9" s="33" t="s">
        <v>248</v>
      </c>
      <c r="B9" s="7">
        <v>2010</v>
      </c>
      <c r="C9" s="91"/>
      <c r="D9" s="91"/>
      <c r="E9" s="91"/>
      <c r="F9" s="91"/>
      <c r="G9" s="91"/>
      <c r="H9" s="91"/>
      <c r="I9" s="91"/>
      <c r="J9" s="91"/>
    </row>
    <row r="10" spans="1:10" ht="20.100000000000001" customHeight="1">
      <c r="A10" s="8" t="s">
        <v>144</v>
      </c>
      <c r="B10" s="7">
        <v>2020</v>
      </c>
      <c r="C10" s="91"/>
      <c r="D10" s="91"/>
      <c r="E10" s="91"/>
      <c r="F10" s="91"/>
      <c r="G10" s="91"/>
      <c r="H10" s="91"/>
      <c r="I10" s="91"/>
      <c r="J10" s="91"/>
    </row>
    <row r="11" spans="1:10" s="34" customFormat="1" ht="20.100000000000001" customHeight="1">
      <c r="A11" s="33" t="s">
        <v>52</v>
      </c>
      <c r="B11" s="7">
        <v>2030</v>
      </c>
      <c r="C11" s="91"/>
      <c r="D11" s="91"/>
      <c r="E11" s="91"/>
      <c r="F11" s="91"/>
      <c r="G11" s="91"/>
      <c r="H11" s="91"/>
      <c r="I11" s="91"/>
      <c r="J11" s="91"/>
    </row>
    <row r="12" spans="1:10" ht="41.25" customHeight="1">
      <c r="A12" s="33" t="s">
        <v>101</v>
      </c>
      <c r="B12" s="7">
        <v>2031</v>
      </c>
      <c r="C12" s="91"/>
      <c r="D12" s="91"/>
      <c r="E12" s="91"/>
      <c r="F12" s="91"/>
      <c r="G12" s="91"/>
      <c r="H12" s="91"/>
      <c r="I12" s="91"/>
      <c r="J12" s="91"/>
    </row>
    <row r="13" spans="1:10" ht="20.100000000000001" customHeight="1">
      <c r="A13" s="33" t="s">
        <v>9</v>
      </c>
      <c r="B13" s="7">
        <v>2040</v>
      </c>
      <c r="C13" s="93"/>
      <c r="D13" s="93"/>
      <c r="E13" s="93"/>
      <c r="F13" s="91"/>
      <c r="G13" s="91"/>
      <c r="H13" s="91"/>
      <c r="I13" s="91"/>
      <c r="J13" s="91"/>
    </row>
    <row r="14" spans="1:10" ht="20.100000000000001" customHeight="1">
      <c r="A14" s="33" t="s">
        <v>88</v>
      </c>
      <c r="B14" s="7">
        <v>2050</v>
      </c>
      <c r="C14" s="91"/>
      <c r="D14" s="91"/>
      <c r="E14" s="91"/>
      <c r="F14" s="91"/>
      <c r="G14" s="91"/>
      <c r="H14" s="91"/>
      <c r="I14" s="91"/>
      <c r="J14" s="91"/>
    </row>
    <row r="15" spans="1:10" ht="20.100000000000001" customHeight="1">
      <c r="A15" s="33" t="s">
        <v>89</v>
      </c>
      <c r="B15" s="7">
        <v>2060</v>
      </c>
      <c r="C15" s="91"/>
      <c r="D15" s="91"/>
      <c r="E15" s="91"/>
      <c r="F15" s="91"/>
      <c r="G15" s="91"/>
      <c r="H15" s="91"/>
      <c r="I15" s="91"/>
      <c r="J15" s="91"/>
    </row>
    <row r="16" spans="1:10" ht="42.75" customHeight="1">
      <c r="A16" s="33" t="s">
        <v>43</v>
      </c>
      <c r="B16" s="7">
        <v>2070</v>
      </c>
      <c r="C16" s="91">
        <v>224</v>
      </c>
      <c r="D16" s="91">
        <v>216.3</v>
      </c>
      <c r="E16" s="91">
        <v>250.5</v>
      </c>
      <c r="F16" s="91">
        <v>256.3</v>
      </c>
      <c r="G16" s="91">
        <v>226.3</v>
      </c>
      <c r="H16" s="91">
        <v>236.3</v>
      </c>
      <c r="I16" s="91">
        <v>246.3</v>
      </c>
      <c r="J16" s="91">
        <v>256.3</v>
      </c>
    </row>
    <row r="17" spans="1:10" ht="13.5" customHeight="1">
      <c r="A17" s="550"/>
      <c r="B17" s="550"/>
      <c r="C17" s="550"/>
      <c r="D17" s="550"/>
      <c r="E17" s="550"/>
      <c r="F17" s="550"/>
      <c r="G17" s="550"/>
      <c r="H17" s="550"/>
      <c r="I17" s="550"/>
      <c r="J17" s="550"/>
    </row>
    <row r="18" spans="1:10" ht="40.5" customHeight="1">
      <c r="A18" s="33" t="s">
        <v>248</v>
      </c>
      <c r="B18" s="7">
        <v>2100</v>
      </c>
      <c r="C18" s="91">
        <v>4</v>
      </c>
      <c r="D18" s="91">
        <v>3.4</v>
      </c>
      <c r="E18" s="91">
        <f>'1.1.Фінансовий результат'!E96*0.15</f>
        <v>4.6863000000000001</v>
      </c>
      <c r="F18" s="91">
        <f>'1.1.Фінансовий результат'!F96*0.15</f>
        <v>4.9254120000000068</v>
      </c>
      <c r="G18" s="91">
        <v>1.3</v>
      </c>
      <c r="H18" s="91">
        <f>'1.1.Фінансовий результат'!H96*0.15</f>
        <v>1.2322139999999979</v>
      </c>
      <c r="I18" s="91">
        <f>'1.1.Фінансовий результат'!I96*0.15</f>
        <v>1.2339359999999886</v>
      </c>
      <c r="J18" s="91">
        <f>'1.1.Фінансовий результат'!J96*0.15</f>
        <v>1.2270479999999941</v>
      </c>
    </row>
    <row r="19" spans="1:10" s="34" customFormat="1" ht="20.100000000000001" customHeight="1">
      <c r="A19" s="33" t="s">
        <v>115</v>
      </c>
      <c r="B19" s="39">
        <v>2110</v>
      </c>
      <c r="C19" s="91">
        <v>6</v>
      </c>
      <c r="D19" s="91">
        <v>5</v>
      </c>
      <c r="E19" s="91">
        <f>'1.1.Фінансовий результат'!E94</f>
        <v>6.8579999999999997</v>
      </c>
      <c r="F19" s="91">
        <f>'1.1.Фінансовий результат'!F94</f>
        <v>7.2079200000000094</v>
      </c>
      <c r="G19" s="91">
        <f>'1.1.Фінансовий результат'!G94</f>
        <v>1.8032400000000377</v>
      </c>
      <c r="H19" s="91">
        <f>'1.1.Фінансовий результат'!H94</f>
        <v>1.8032399999999968</v>
      </c>
      <c r="I19" s="91">
        <f>'1.1.Фінансовий результат'!I94</f>
        <v>1.8057599999999834</v>
      </c>
      <c r="J19" s="91">
        <f>'1.1.Фінансовий результат'!J94</f>
        <v>1.7956799999999915</v>
      </c>
    </row>
    <row r="20" spans="1:10" ht="74.25" customHeight="1">
      <c r="A20" s="33" t="s">
        <v>220</v>
      </c>
      <c r="B20" s="39">
        <v>2120</v>
      </c>
      <c r="C20" s="91">
        <v>59.7</v>
      </c>
      <c r="D20" s="91">
        <v>80.400000000000006</v>
      </c>
      <c r="E20" s="91">
        <f>'1.1.Фінансовий результат'!E11*0.282</f>
        <v>81.215999999999994</v>
      </c>
      <c r="F20" s="91">
        <f>'1.1.Фінансовий результат'!F11*0.282</f>
        <v>95.710799999999978</v>
      </c>
      <c r="G20" s="91">
        <f>'1.1.Фінансовий результат'!G11*0.282</f>
        <v>14.099999999999998</v>
      </c>
      <c r="H20" s="91">
        <f>'1.1.Фінансовий результат'!H11*0.282</f>
        <v>35.25</v>
      </c>
      <c r="I20" s="91">
        <f>'1.1.Фінансовий результат'!I11*0.282</f>
        <v>19.739999999999998</v>
      </c>
      <c r="J20" s="91">
        <f>'1.1.Фінансовий результат'!J11*0.282</f>
        <v>26.620799999999999</v>
      </c>
    </row>
    <row r="21" spans="1:10" ht="75" customHeight="1">
      <c r="A21" s="33" t="s">
        <v>221</v>
      </c>
      <c r="B21" s="39">
        <v>2130</v>
      </c>
      <c r="C21" s="91"/>
      <c r="D21" s="91"/>
      <c r="E21" s="91"/>
      <c r="F21" s="91"/>
      <c r="G21" s="92"/>
      <c r="H21" s="92"/>
      <c r="I21" s="92"/>
      <c r="J21" s="92"/>
    </row>
    <row r="22" spans="1:10" s="36" customFormat="1" ht="77.25" customHeight="1">
      <c r="A22" s="42" t="s">
        <v>175</v>
      </c>
      <c r="B22" s="51">
        <v>2140</v>
      </c>
      <c r="C22" s="88">
        <f>C26+C31</f>
        <v>1325.2</v>
      </c>
      <c r="D22" s="88">
        <f t="shared" ref="D22:J22" si="0">D26+D31</f>
        <v>1416</v>
      </c>
      <c r="E22" s="88">
        <f>E26+E31</f>
        <v>1473.9</v>
      </c>
      <c r="F22" s="88">
        <f>F26+F31</f>
        <v>1573.9759999999997</v>
      </c>
      <c r="G22" s="88">
        <f t="shared" si="0"/>
        <v>384.06450000000001</v>
      </c>
      <c r="H22" s="88">
        <f t="shared" si="0"/>
        <v>384.06450000000001</v>
      </c>
      <c r="I22" s="88">
        <f t="shared" si="0"/>
        <v>400.01799999999992</v>
      </c>
      <c r="J22" s="88">
        <f t="shared" si="0"/>
        <v>405.82899999999995</v>
      </c>
    </row>
    <row r="23" spans="1:10" ht="20.100000000000001" customHeight="1">
      <c r="A23" s="33" t="s">
        <v>64</v>
      </c>
      <c r="B23" s="39">
        <v>2141</v>
      </c>
      <c r="C23" s="91"/>
      <c r="D23" s="91"/>
      <c r="E23" s="91"/>
      <c r="F23" s="91"/>
      <c r="G23" s="92"/>
      <c r="H23" s="92"/>
      <c r="I23" s="92"/>
      <c r="J23" s="92"/>
    </row>
    <row r="24" spans="1:10" ht="20.100000000000001" customHeight="1">
      <c r="A24" s="33" t="s">
        <v>81</v>
      </c>
      <c r="B24" s="39">
        <v>2142</v>
      </c>
      <c r="C24" s="91"/>
      <c r="D24" s="91"/>
      <c r="E24" s="91"/>
      <c r="F24" s="91"/>
      <c r="G24" s="92"/>
      <c r="H24" s="92"/>
      <c r="I24" s="92"/>
      <c r="J24" s="92"/>
    </row>
    <row r="25" spans="1:10" ht="20.100000000000001" customHeight="1">
      <c r="A25" s="33" t="s">
        <v>77</v>
      </c>
      <c r="B25" s="39">
        <v>2143</v>
      </c>
      <c r="C25" s="91"/>
      <c r="D25" s="91"/>
      <c r="E25" s="91"/>
      <c r="F25" s="91"/>
      <c r="G25" s="92"/>
      <c r="H25" s="92"/>
      <c r="I25" s="92"/>
      <c r="J25" s="92"/>
    </row>
    <row r="26" spans="1:10" ht="20.100000000000001" customHeight="1">
      <c r="A26" s="33" t="s">
        <v>62</v>
      </c>
      <c r="B26" s="39">
        <v>2144</v>
      </c>
      <c r="C26" s="91">
        <v>1096</v>
      </c>
      <c r="D26" s="91">
        <v>1191.0999999999999</v>
      </c>
      <c r="E26" s="91">
        <v>1244.3</v>
      </c>
      <c r="F26" s="91">
        <f>G26+H26+I26+J26</f>
        <v>1338.6239999999998</v>
      </c>
      <c r="G26" s="91">
        <f>'1.1.Фінансовий результат'!G104*0.18</f>
        <v>325.99799999999999</v>
      </c>
      <c r="H26" s="91">
        <f>'1.1.Фінансовий результат'!H104*0.18</f>
        <v>325.99799999999999</v>
      </c>
      <c r="I26" s="91">
        <f>'1.1.Фінансовий результат'!I104*0.18</f>
        <v>340.63199999999995</v>
      </c>
      <c r="J26" s="91">
        <f>'1.1.Фінансовий результат'!J104*0.18</f>
        <v>345.99599999999998</v>
      </c>
    </row>
    <row r="27" spans="1:10" s="34" customFormat="1" ht="41.25" customHeight="1">
      <c r="A27" s="33" t="s">
        <v>128</v>
      </c>
      <c r="B27" s="39">
        <v>2145</v>
      </c>
      <c r="C27" s="91"/>
      <c r="D27" s="91"/>
      <c r="E27" s="91"/>
      <c r="F27" s="91"/>
      <c r="G27" s="91"/>
      <c r="H27" s="91"/>
      <c r="I27" s="91"/>
      <c r="J27" s="91"/>
    </row>
    <row r="28" spans="1:10" ht="95.25" customHeight="1">
      <c r="A28" s="33" t="s">
        <v>180</v>
      </c>
      <c r="B28" s="39" t="s">
        <v>165</v>
      </c>
      <c r="C28" s="91"/>
      <c r="D28" s="91"/>
      <c r="E28" s="91"/>
      <c r="F28" s="91"/>
      <c r="G28" s="92"/>
      <c r="H28" s="92"/>
      <c r="I28" s="92"/>
      <c r="J28" s="92"/>
    </row>
    <row r="29" spans="1:10" ht="20.100000000000001" customHeight="1">
      <c r="A29" s="33" t="s">
        <v>10</v>
      </c>
      <c r="B29" s="39" t="s">
        <v>166</v>
      </c>
      <c r="C29" s="91"/>
      <c r="D29" s="91"/>
      <c r="E29" s="91"/>
      <c r="F29" s="91"/>
      <c r="G29" s="92"/>
      <c r="H29" s="92"/>
      <c r="I29" s="92"/>
      <c r="J29" s="92"/>
    </row>
    <row r="30" spans="1:10" s="34" customFormat="1" ht="31.5" customHeight="1">
      <c r="A30" s="33" t="s">
        <v>91</v>
      </c>
      <c r="B30" s="39">
        <v>2146</v>
      </c>
      <c r="C30" s="91"/>
      <c r="D30" s="91"/>
      <c r="E30" s="91"/>
      <c r="F30" s="91"/>
      <c r="G30" s="91"/>
      <c r="H30" s="91"/>
      <c r="I30" s="91"/>
      <c r="J30" s="91"/>
    </row>
    <row r="31" spans="1:10" ht="20.100000000000001" customHeight="1">
      <c r="A31" s="33" t="s">
        <v>68</v>
      </c>
      <c r="B31" s="39">
        <v>2147</v>
      </c>
      <c r="C31" s="88">
        <f t="shared" ref="C31:J31" si="1">C32+C33+C34+C35+C36</f>
        <v>229.2</v>
      </c>
      <c r="D31" s="88">
        <f t="shared" si="1"/>
        <v>224.89999999999998</v>
      </c>
      <c r="E31" s="88">
        <f>E32+E33+E34+E35+E36</f>
        <v>229.60000000000002</v>
      </c>
      <c r="F31" s="88">
        <f t="shared" si="1"/>
        <v>235.35199999999998</v>
      </c>
      <c r="G31" s="88">
        <f t="shared" si="1"/>
        <v>58.066500000000005</v>
      </c>
      <c r="H31" s="88">
        <f t="shared" si="1"/>
        <v>58.066500000000005</v>
      </c>
      <c r="I31" s="88">
        <f t="shared" si="1"/>
        <v>59.385999999999996</v>
      </c>
      <c r="J31" s="88">
        <f t="shared" si="1"/>
        <v>59.832999999999998</v>
      </c>
    </row>
    <row r="32" spans="1:10" ht="20.100000000000001" customHeight="1">
      <c r="A32" s="33" t="s">
        <v>294</v>
      </c>
      <c r="B32" s="39" t="s">
        <v>351</v>
      </c>
      <c r="C32" s="91">
        <v>4</v>
      </c>
      <c r="D32" s="91">
        <v>2.6</v>
      </c>
      <c r="E32" s="91">
        <v>4.7</v>
      </c>
      <c r="F32" s="91">
        <f>G32+H32+I32+J32</f>
        <v>2.5999999999999996</v>
      </c>
      <c r="G32" s="91">
        <v>0.6</v>
      </c>
      <c r="H32" s="91">
        <v>0.6</v>
      </c>
      <c r="I32" s="91">
        <v>0.7</v>
      </c>
      <c r="J32" s="91">
        <v>0.7</v>
      </c>
    </row>
    <row r="33" spans="1:12" ht="20.100000000000001" customHeight="1">
      <c r="A33" s="33" t="s">
        <v>295</v>
      </c>
      <c r="B33" s="39" t="s">
        <v>352</v>
      </c>
      <c r="C33" s="91">
        <v>119</v>
      </c>
      <c r="D33" s="91">
        <v>120</v>
      </c>
      <c r="E33" s="91">
        <f>'1.1.Фінансовий результат'!E86</f>
        <v>120</v>
      </c>
      <c r="F33" s="91">
        <f>'1.1.Фінансовий результат'!F86</f>
        <v>120</v>
      </c>
      <c r="G33" s="91">
        <f>'1.1.Фінансовий результат'!G86</f>
        <v>30</v>
      </c>
      <c r="H33" s="91">
        <f>'1.1.Фінансовий результат'!H86</f>
        <v>30</v>
      </c>
      <c r="I33" s="91">
        <f>'1.1.Фінансовий результат'!I86</f>
        <v>30</v>
      </c>
      <c r="J33" s="91">
        <f>'1.1.Фінансовий результат'!J86</f>
        <v>30</v>
      </c>
    </row>
    <row r="34" spans="1:12" ht="20.100000000000001" customHeight="1">
      <c r="A34" s="33" t="s">
        <v>354</v>
      </c>
      <c r="B34" s="39" t="s">
        <v>353</v>
      </c>
      <c r="C34" s="91">
        <v>0.7</v>
      </c>
      <c r="D34" s="91">
        <v>0.8</v>
      </c>
      <c r="E34" s="91">
        <f>'1.1.Фінансовий результат'!E87</f>
        <v>0.8</v>
      </c>
      <c r="F34" s="91">
        <f>'1.1.Фінансовий результат'!F87</f>
        <v>0.8</v>
      </c>
      <c r="G34" s="91">
        <f>'1.1.Фінансовий результат'!G87</f>
        <v>0.2</v>
      </c>
      <c r="H34" s="91">
        <f>'1.1.Фінансовий результат'!H87</f>
        <v>0.2</v>
      </c>
      <c r="I34" s="91">
        <f>'1.1.Фінансовий результат'!I87</f>
        <v>0.2</v>
      </c>
      <c r="J34" s="91">
        <f>'1.1.Фінансовий результат'!J87</f>
        <v>0.2</v>
      </c>
    </row>
    <row r="35" spans="1:12" ht="20.100000000000001" customHeight="1">
      <c r="A35" s="33" t="s">
        <v>355</v>
      </c>
      <c r="B35" s="39" t="s">
        <v>356</v>
      </c>
      <c r="C35" s="91">
        <v>1.1000000000000001</v>
      </c>
      <c r="D35" s="91">
        <v>1.4</v>
      </c>
      <c r="E35" s="91">
        <f>'1.1.Фінансовий результат'!E85</f>
        <v>0.4</v>
      </c>
      <c r="F35" s="91">
        <f>'1.1.Фінансовий результат'!F85</f>
        <v>0.4</v>
      </c>
      <c r="G35" s="91">
        <f>'1.1.Фінансовий результат'!G85</f>
        <v>0.1</v>
      </c>
      <c r="H35" s="91">
        <f>'1.1.Фінансовий результат'!H85</f>
        <v>0.1</v>
      </c>
      <c r="I35" s="91">
        <f>'1.1.Фінансовий результат'!I85</f>
        <v>0.1</v>
      </c>
      <c r="J35" s="91">
        <f>'1.1.Фінансовий результат'!J85</f>
        <v>0.1</v>
      </c>
    </row>
    <row r="36" spans="1:12" ht="20.100000000000001" customHeight="1">
      <c r="A36" s="33" t="s">
        <v>358</v>
      </c>
      <c r="B36" s="39" t="s">
        <v>357</v>
      </c>
      <c r="C36" s="91">
        <v>104.4</v>
      </c>
      <c r="D36" s="91">
        <v>100.1</v>
      </c>
      <c r="E36" s="91">
        <v>103.7</v>
      </c>
      <c r="F36" s="91">
        <f>G36+H36+I36+J36</f>
        <v>111.55199999999999</v>
      </c>
      <c r="G36" s="91">
        <f>'1.1.Фінансовий результат'!G104*0.015</f>
        <v>27.166500000000003</v>
      </c>
      <c r="H36" s="91">
        <f>'1.1.Фінансовий результат'!H104*0.015</f>
        <v>27.166500000000003</v>
      </c>
      <c r="I36" s="91">
        <f>'1.1.Фінансовий результат'!I104*0.015</f>
        <v>28.385999999999996</v>
      </c>
      <c r="J36" s="91">
        <f>'1.1.Фінансовий результат'!J104*0.015</f>
        <v>28.832999999999998</v>
      </c>
    </row>
    <row r="37" spans="1:12" s="34" customFormat="1" ht="36" customHeight="1">
      <c r="A37" s="33" t="s">
        <v>63</v>
      </c>
      <c r="B37" s="39">
        <v>2150</v>
      </c>
      <c r="C37" s="91">
        <v>1145</v>
      </c>
      <c r="D37" s="91">
        <v>1468.6</v>
      </c>
      <c r="E37" s="91">
        <f>'1.1.Фінансовий результат'!E105</f>
        <v>1520.8</v>
      </c>
      <c r="F37" s="91">
        <f>'1.1.Фінансовий результат'!F105</f>
        <v>1636.1099999999997</v>
      </c>
      <c r="G37" s="91">
        <f>'1.1.Фінансовий результат'!G105</f>
        <v>398.38200000000001</v>
      </c>
      <c r="H37" s="91">
        <f>'1.1.Фінансовий результат'!H105</f>
        <v>398.38200000000001</v>
      </c>
      <c r="I37" s="91">
        <f>'1.1.Фінансовий результат'!I105</f>
        <v>416.36799999999999</v>
      </c>
      <c r="J37" s="91">
        <f>'1.1.Фінансовий результат'!J105</f>
        <v>422.92399999999998</v>
      </c>
    </row>
    <row r="38" spans="1:12" s="79" customFormat="1" ht="39" customHeight="1">
      <c r="A38" s="77" t="s">
        <v>185</v>
      </c>
      <c r="B38" s="78">
        <v>2200</v>
      </c>
      <c r="C38" s="89">
        <f t="shared" ref="C38:J38" si="2">C18+C19+C20+C22+C37</f>
        <v>2539.9</v>
      </c>
      <c r="D38" s="89">
        <f t="shared" si="2"/>
        <v>2973.3999999999996</v>
      </c>
      <c r="E38" s="89">
        <v>3087.5</v>
      </c>
      <c r="F38" s="89">
        <f>F18+F19+F20+F22+F37</f>
        <v>3317.9301319999995</v>
      </c>
      <c r="G38" s="89">
        <f>G18+G19+G20+G22+G37</f>
        <v>799.64974000000007</v>
      </c>
      <c r="H38" s="89">
        <f>H18+H19+H20+H22+H37</f>
        <v>820.73195400000009</v>
      </c>
      <c r="I38" s="89">
        <f t="shared" si="2"/>
        <v>839.1656959999998</v>
      </c>
      <c r="J38" s="89">
        <f t="shared" si="2"/>
        <v>858.39652799999999</v>
      </c>
    </row>
    <row r="39" spans="1:12" s="34" customFormat="1" ht="20.100000000000001" customHeight="1">
      <c r="A39" s="48"/>
      <c r="B39" s="35"/>
      <c r="C39" s="46"/>
      <c r="D39" s="46"/>
      <c r="E39" s="46"/>
      <c r="F39" s="46"/>
      <c r="G39" s="47"/>
      <c r="H39" s="47"/>
      <c r="I39" s="47"/>
      <c r="J39" s="47"/>
    </row>
    <row r="40" spans="1:12" s="34" customFormat="1" ht="20.100000000000001" customHeight="1">
      <c r="A40" s="48"/>
      <c r="B40" s="35"/>
      <c r="C40" s="46"/>
      <c r="D40" s="46"/>
      <c r="E40" s="46"/>
      <c r="F40" s="46"/>
      <c r="G40" s="47"/>
      <c r="H40" s="47"/>
      <c r="I40" s="47"/>
      <c r="J40" s="47"/>
    </row>
    <row r="41" spans="1:12" s="3" customFormat="1" ht="20.100000000000001" customHeight="1">
      <c r="A41" s="41" t="s">
        <v>194</v>
      </c>
      <c r="B41" s="1"/>
      <c r="C41" s="558" t="s">
        <v>82</v>
      </c>
      <c r="D41" s="558"/>
      <c r="E41" s="558"/>
      <c r="F41" s="559"/>
      <c r="G41" s="12"/>
      <c r="H41" s="560" t="s">
        <v>326</v>
      </c>
      <c r="I41" s="560"/>
      <c r="J41" s="560"/>
    </row>
    <row r="42" spans="1:12" s="2" customFormat="1" ht="20.100000000000001" customHeight="1">
      <c r="A42" s="49" t="s">
        <v>195</v>
      </c>
      <c r="B42" s="3"/>
      <c r="C42" s="556" t="s">
        <v>193</v>
      </c>
      <c r="D42" s="556"/>
      <c r="E42" s="556"/>
      <c r="F42" s="556"/>
      <c r="G42" s="23"/>
      <c r="H42" s="557" t="s">
        <v>78</v>
      </c>
      <c r="I42" s="557"/>
      <c r="J42" s="557"/>
    </row>
    <row r="43" spans="1:12" s="35" customFormat="1">
      <c r="A43" s="44"/>
      <c r="F43" s="32"/>
      <c r="G43" s="32"/>
      <c r="H43" s="32"/>
      <c r="I43" s="32"/>
      <c r="J43" s="32"/>
      <c r="K43" s="32"/>
      <c r="L43" s="32"/>
    </row>
    <row r="44" spans="1:12" s="35" customFormat="1">
      <c r="A44" s="44"/>
      <c r="F44" s="32"/>
      <c r="G44" s="32"/>
      <c r="H44" s="32"/>
      <c r="I44" s="32"/>
      <c r="J44" s="32"/>
      <c r="K44" s="32"/>
      <c r="L44" s="32"/>
    </row>
    <row r="45" spans="1:12" s="35" customFormat="1">
      <c r="A45" s="44"/>
      <c r="F45" s="32"/>
      <c r="G45" s="32"/>
      <c r="H45" s="32"/>
      <c r="I45" s="32"/>
      <c r="J45" s="32"/>
      <c r="K45" s="32"/>
      <c r="L45" s="32"/>
    </row>
    <row r="46" spans="1:12" s="35" customFormat="1">
      <c r="A46" s="44"/>
      <c r="F46" s="32"/>
      <c r="G46" s="32"/>
      <c r="H46" s="32"/>
      <c r="I46" s="32"/>
      <c r="J46" s="32"/>
      <c r="K46" s="32"/>
      <c r="L46" s="32"/>
    </row>
    <row r="47" spans="1:12" s="35" customFormat="1">
      <c r="A47" s="44"/>
      <c r="F47" s="32"/>
      <c r="G47" s="32"/>
      <c r="H47" s="32"/>
      <c r="I47" s="32"/>
      <c r="J47" s="32"/>
      <c r="K47" s="32"/>
      <c r="L47" s="32"/>
    </row>
    <row r="48" spans="1:12" s="35" customFormat="1">
      <c r="A48" s="44"/>
      <c r="F48" s="32"/>
      <c r="G48" s="32"/>
      <c r="H48" s="32"/>
      <c r="I48" s="32"/>
      <c r="J48" s="32"/>
      <c r="K48" s="32"/>
      <c r="L48" s="32"/>
    </row>
    <row r="49" spans="1:12" s="35" customFormat="1">
      <c r="A49" s="44"/>
      <c r="F49" s="32"/>
      <c r="G49" s="32"/>
      <c r="H49" s="32"/>
      <c r="I49" s="32"/>
      <c r="J49" s="32"/>
      <c r="K49" s="32"/>
      <c r="L49" s="32"/>
    </row>
    <row r="50" spans="1:12" s="35" customFormat="1">
      <c r="A50" s="44"/>
      <c r="F50" s="32"/>
      <c r="G50" s="32"/>
      <c r="H50" s="32"/>
      <c r="I50" s="32"/>
      <c r="J50" s="32"/>
      <c r="K50" s="32"/>
      <c r="L50" s="32"/>
    </row>
    <row r="51" spans="1:12" s="35" customFormat="1">
      <c r="A51" s="44"/>
      <c r="F51" s="32"/>
      <c r="G51" s="32"/>
      <c r="H51" s="32"/>
      <c r="I51" s="32"/>
      <c r="J51" s="32"/>
      <c r="K51" s="32"/>
      <c r="L51" s="32"/>
    </row>
    <row r="52" spans="1:12" s="35" customFormat="1">
      <c r="A52" s="44"/>
      <c r="F52" s="32"/>
      <c r="G52" s="32"/>
      <c r="H52" s="32"/>
      <c r="I52" s="32"/>
      <c r="J52" s="32"/>
      <c r="K52" s="32"/>
      <c r="L52" s="32"/>
    </row>
    <row r="53" spans="1:12" s="35" customFormat="1">
      <c r="A53" s="44"/>
      <c r="F53" s="32"/>
      <c r="G53" s="32"/>
      <c r="H53" s="32"/>
      <c r="I53" s="32"/>
      <c r="J53" s="32"/>
      <c r="K53" s="32"/>
      <c r="L53" s="32"/>
    </row>
    <row r="54" spans="1:12" s="35" customFormat="1">
      <c r="A54" s="44"/>
      <c r="F54" s="32"/>
      <c r="G54" s="32"/>
      <c r="H54" s="32"/>
      <c r="I54" s="32"/>
      <c r="J54" s="32"/>
      <c r="K54" s="32"/>
      <c r="L54" s="32"/>
    </row>
    <row r="55" spans="1:12" s="35" customFormat="1">
      <c r="A55" s="44"/>
      <c r="F55" s="32"/>
      <c r="G55" s="32"/>
      <c r="H55" s="32"/>
      <c r="I55" s="32"/>
      <c r="J55" s="32"/>
      <c r="K55" s="32"/>
      <c r="L55" s="32"/>
    </row>
    <row r="56" spans="1:12" s="35" customFormat="1">
      <c r="A56" s="44"/>
      <c r="F56" s="32"/>
      <c r="G56" s="32"/>
      <c r="H56" s="32"/>
      <c r="I56" s="32"/>
      <c r="J56" s="32"/>
      <c r="K56" s="32"/>
      <c r="L56" s="32"/>
    </row>
    <row r="57" spans="1:12" s="35" customFormat="1">
      <c r="A57" s="44"/>
      <c r="F57" s="32"/>
      <c r="G57" s="32"/>
      <c r="H57" s="32"/>
      <c r="I57" s="32"/>
      <c r="J57" s="32"/>
      <c r="K57" s="32"/>
      <c r="L57" s="32"/>
    </row>
    <row r="58" spans="1:12" s="35" customFormat="1">
      <c r="A58" s="44"/>
      <c r="F58" s="32"/>
      <c r="G58" s="32"/>
      <c r="H58" s="32"/>
      <c r="I58" s="32"/>
      <c r="J58" s="32"/>
      <c r="K58" s="32"/>
      <c r="L58" s="32"/>
    </row>
    <row r="59" spans="1:12" s="35" customFormat="1">
      <c r="A59" s="44"/>
      <c r="F59" s="32"/>
      <c r="G59" s="32"/>
      <c r="H59" s="32"/>
      <c r="I59" s="32"/>
      <c r="J59" s="32"/>
      <c r="K59" s="32"/>
      <c r="L59" s="32"/>
    </row>
    <row r="60" spans="1:12" s="35" customFormat="1">
      <c r="A60" s="44"/>
      <c r="F60" s="32"/>
      <c r="G60" s="32"/>
      <c r="H60" s="32"/>
      <c r="I60" s="32"/>
      <c r="J60" s="32"/>
      <c r="K60" s="32"/>
      <c r="L60" s="32"/>
    </row>
    <row r="61" spans="1:12" s="35" customFormat="1">
      <c r="A61" s="44"/>
      <c r="F61" s="32"/>
      <c r="G61" s="32"/>
      <c r="H61" s="32"/>
      <c r="I61" s="32"/>
      <c r="J61" s="32"/>
      <c r="K61" s="32"/>
      <c r="L61" s="32"/>
    </row>
    <row r="62" spans="1:12" s="35" customFormat="1">
      <c r="A62" s="44"/>
      <c r="F62" s="32"/>
      <c r="G62" s="32"/>
      <c r="H62" s="32"/>
      <c r="I62" s="32"/>
      <c r="J62" s="32"/>
      <c r="K62" s="32"/>
      <c r="L62" s="32"/>
    </row>
    <row r="63" spans="1:12" s="35" customFormat="1">
      <c r="A63" s="44"/>
      <c r="F63" s="32"/>
      <c r="G63" s="32"/>
      <c r="H63" s="32"/>
      <c r="I63" s="32"/>
      <c r="J63" s="32"/>
      <c r="K63" s="32"/>
      <c r="L63" s="32"/>
    </row>
    <row r="64" spans="1:12" s="35" customFormat="1">
      <c r="A64" s="44"/>
      <c r="F64" s="32"/>
      <c r="G64" s="32"/>
      <c r="H64" s="32"/>
      <c r="I64" s="32"/>
      <c r="J64" s="32"/>
      <c r="K64" s="32"/>
      <c r="L64" s="32"/>
    </row>
    <row r="65" spans="1:12" s="35" customFormat="1">
      <c r="A65" s="44"/>
      <c r="F65" s="32"/>
      <c r="G65" s="32"/>
      <c r="H65" s="32"/>
      <c r="I65" s="32"/>
      <c r="J65" s="32"/>
      <c r="K65" s="32"/>
      <c r="L65" s="32"/>
    </row>
    <row r="66" spans="1:12" s="35" customFormat="1">
      <c r="A66" s="44"/>
      <c r="F66" s="32"/>
      <c r="G66" s="32"/>
      <c r="H66" s="32"/>
      <c r="I66" s="32"/>
      <c r="J66" s="32"/>
      <c r="K66" s="32"/>
      <c r="L66" s="32"/>
    </row>
    <row r="67" spans="1:12" s="35" customFormat="1">
      <c r="A67" s="44"/>
      <c r="F67" s="32"/>
      <c r="G67" s="32"/>
      <c r="H67" s="32"/>
      <c r="I67" s="32"/>
      <c r="J67" s="32"/>
      <c r="K67" s="32"/>
      <c r="L67" s="32"/>
    </row>
    <row r="68" spans="1:12" s="35" customFormat="1">
      <c r="A68" s="44"/>
      <c r="F68" s="32"/>
      <c r="G68" s="32"/>
      <c r="H68" s="32"/>
      <c r="I68" s="32"/>
      <c r="J68" s="32"/>
      <c r="K68" s="32"/>
      <c r="L68" s="32"/>
    </row>
    <row r="69" spans="1:12" s="35" customFormat="1">
      <c r="A69" s="44"/>
      <c r="F69" s="32"/>
      <c r="G69" s="32"/>
      <c r="H69" s="32"/>
      <c r="I69" s="32"/>
      <c r="J69" s="32"/>
      <c r="K69" s="32"/>
      <c r="L69" s="32"/>
    </row>
    <row r="70" spans="1:12" s="35" customFormat="1">
      <c r="A70" s="44"/>
      <c r="F70" s="32"/>
      <c r="G70" s="32"/>
      <c r="H70" s="32"/>
      <c r="I70" s="32"/>
      <c r="J70" s="32"/>
      <c r="K70" s="32"/>
      <c r="L70" s="32"/>
    </row>
    <row r="71" spans="1:12" s="35" customFormat="1">
      <c r="A71" s="44"/>
      <c r="F71" s="32"/>
      <c r="G71" s="32"/>
      <c r="H71" s="32"/>
      <c r="I71" s="32"/>
      <c r="J71" s="32"/>
      <c r="K71" s="32"/>
      <c r="L71" s="32"/>
    </row>
    <row r="72" spans="1:12" s="35" customFormat="1">
      <c r="A72" s="44"/>
      <c r="F72" s="32"/>
      <c r="G72" s="32"/>
      <c r="H72" s="32"/>
      <c r="I72" s="32"/>
      <c r="J72" s="32"/>
      <c r="K72" s="32"/>
      <c r="L72" s="32"/>
    </row>
    <row r="73" spans="1:12" s="35" customFormat="1">
      <c r="A73" s="44"/>
      <c r="F73" s="32"/>
      <c r="G73" s="32"/>
      <c r="H73" s="32"/>
      <c r="I73" s="32"/>
      <c r="J73" s="32"/>
      <c r="K73" s="32"/>
      <c r="L73" s="32"/>
    </row>
    <row r="74" spans="1:12" s="35" customFormat="1">
      <c r="A74" s="44"/>
      <c r="F74" s="32"/>
      <c r="G74" s="32"/>
      <c r="H74" s="32"/>
      <c r="I74" s="32"/>
      <c r="J74" s="32"/>
      <c r="K74" s="32"/>
      <c r="L74" s="32"/>
    </row>
    <row r="75" spans="1:12" s="35" customFormat="1">
      <c r="A75" s="44"/>
      <c r="F75" s="32"/>
      <c r="G75" s="32"/>
      <c r="H75" s="32"/>
      <c r="I75" s="32"/>
      <c r="J75" s="32"/>
      <c r="K75" s="32"/>
      <c r="L75" s="32"/>
    </row>
    <row r="76" spans="1:12" s="35" customFormat="1">
      <c r="A76" s="44"/>
      <c r="F76" s="32"/>
      <c r="G76" s="32"/>
      <c r="H76" s="32"/>
      <c r="I76" s="32"/>
      <c r="J76" s="32"/>
      <c r="K76" s="32"/>
      <c r="L76" s="32"/>
    </row>
    <row r="77" spans="1:12" s="35" customFormat="1">
      <c r="A77" s="44"/>
      <c r="F77" s="32"/>
      <c r="G77" s="32"/>
      <c r="H77" s="32"/>
      <c r="I77" s="32"/>
      <c r="J77" s="32"/>
      <c r="K77" s="32"/>
      <c r="L77" s="32"/>
    </row>
    <row r="78" spans="1:12" s="35" customFormat="1">
      <c r="A78" s="44"/>
      <c r="F78" s="32"/>
      <c r="G78" s="32"/>
      <c r="H78" s="32"/>
      <c r="I78" s="32"/>
      <c r="J78" s="32"/>
      <c r="K78" s="32"/>
      <c r="L78" s="32"/>
    </row>
    <row r="79" spans="1:12" s="35" customFormat="1">
      <c r="A79" s="44"/>
      <c r="F79" s="32"/>
      <c r="G79" s="32"/>
      <c r="H79" s="32"/>
      <c r="I79" s="32"/>
      <c r="J79" s="32"/>
      <c r="K79" s="32"/>
      <c r="L79" s="32"/>
    </row>
    <row r="80" spans="1:12" s="35" customFormat="1">
      <c r="A80" s="44"/>
      <c r="F80" s="32"/>
      <c r="G80" s="32"/>
      <c r="H80" s="32"/>
      <c r="I80" s="32"/>
      <c r="J80" s="32"/>
      <c r="K80" s="32"/>
      <c r="L80" s="32"/>
    </row>
    <row r="81" spans="1:12" s="35" customFormat="1">
      <c r="A81" s="44"/>
      <c r="F81" s="32"/>
      <c r="G81" s="32"/>
      <c r="H81" s="32"/>
      <c r="I81" s="32"/>
      <c r="J81" s="32"/>
      <c r="K81" s="32"/>
      <c r="L81" s="32"/>
    </row>
    <row r="82" spans="1:12" s="35" customFormat="1">
      <c r="A82" s="44"/>
      <c r="F82" s="32"/>
      <c r="G82" s="32"/>
      <c r="H82" s="32"/>
      <c r="I82" s="32"/>
      <c r="J82" s="32"/>
      <c r="K82" s="32"/>
      <c r="L82" s="32"/>
    </row>
    <row r="83" spans="1:12" s="35" customFormat="1">
      <c r="A83" s="44"/>
      <c r="F83" s="32"/>
      <c r="G83" s="32"/>
      <c r="H83" s="32"/>
      <c r="I83" s="32"/>
      <c r="J83" s="32"/>
      <c r="K83" s="32"/>
      <c r="L83" s="32"/>
    </row>
    <row r="84" spans="1:12" s="35" customFormat="1">
      <c r="A84" s="44"/>
      <c r="F84" s="32"/>
      <c r="G84" s="32"/>
      <c r="H84" s="32"/>
      <c r="I84" s="32"/>
      <c r="J84" s="32"/>
      <c r="K84" s="32"/>
      <c r="L84" s="32"/>
    </row>
    <row r="85" spans="1:12" s="35" customFormat="1">
      <c r="A85" s="44"/>
      <c r="F85" s="32"/>
      <c r="G85" s="32"/>
      <c r="H85" s="32"/>
      <c r="I85" s="32"/>
      <c r="J85" s="32"/>
      <c r="K85" s="32"/>
      <c r="L85" s="32"/>
    </row>
    <row r="86" spans="1:12" s="35" customFormat="1">
      <c r="A86" s="44"/>
      <c r="F86" s="32"/>
      <c r="G86" s="32"/>
      <c r="H86" s="32"/>
      <c r="I86" s="32"/>
      <c r="J86" s="32"/>
      <c r="K86" s="32"/>
      <c r="L86" s="32"/>
    </row>
    <row r="87" spans="1:12" s="35" customFormat="1">
      <c r="A87" s="44"/>
      <c r="F87" s="32"/>
      <c r="G87" s="32"/>
      <c r="H87" s="32"/>
      <c r="I87" s="32"/>
      <c r="J87" s="32"/>
      <c r="K87" s="32"/>
      <c r="L87" s="32"/>
    </row>
    <row r="88" spans="1:12" s="35" customFormat="1">
      <c r="A88" s="44"/>
      <c r="F88" s="32"/>
      <c r="G88" s="32"/>
      <c r="H88" s="32"/>
      <c r="I88" s="32"/>
      <c r="J88" s="32"/>
      <c r="K88" s="32"/>
      <c r="L88" s="32"/>
    </row>
    <row r="89" spans="1:12" s="35" customFormat="1">
      <c r="A89" s="44"/>
      <c r="F89" s="32"/>
      <c r="G89" s="32"/>
      <c r="H89" s="32"/>
      <c r="I89" s="32"/>
      <c r="J89" s="32"/>
      <c r="K89" s="32"/>
      <c r="L89" s="32"/>
    </row>
    <row r="90" spans="1:12" s="35" customFormat="1">
      <c r="A90" s="44"/>
      <c r="F90" s="32"/>
      <c r="G90" s="32"/>
      <c r="H90" s="32"/>
      <c r="I90" s="32"/>
      <c r="J90" s="32"/>
      <c r="K90" s="32"/>
      <c r="L90" s="32"/>
    </row>
    <row r="91" spans="1:12" s="35" customFormat="1">
      <c r="A91" s="44"/>
      <c r="F91" s="32"/>
      <c r="G91" s="32"/>
      <c r="H91" s="32"/>
      <c r="I91" s="32"/>
      <c r="J91" s="32"/>
      <c r="K91" s="32"/>
      <c r="L91" s="32"/>
    </row>
    <row r="92" spans="1:12" s="35" customFormat="1">
      <c r="A92" s="44"/>
      <c r="F92" s="32"/>
      <c r="G92" s="32"/>
      <c r="H92" s="32"/>
      <c r="I92" s="32"/>
      <c r="J92" s="32"/>
      <c r="K92" s="32"/>
      <c r="L92" s="32"/>
    </row>
    <row r="93" spans="1:12" s="35" customFormat="1">
      <c r="A93" s="44"/>
      <c r="F93" s="32"/>
      <c r="G93" s="32"/>
      <c r="H93" s="32"/>
      <c r="I93" s="32"/>
      <c r="J93" s="32"/>
      <c r="K93" s="32"/>
      <c r="L93" s="32"/>
    </row>
    <row r="94" spans="1:12" s="35" customFormat="1">
      <c r="A94" s="44"/>
      <c r="F94" s="32"/>
      <c r="G94" s="32"/>
      <c r="H94" s="32"/>
      <c r="I94" s="32"/>
      <c r="J94" s="32"/>
      <c r="K94" s="32"/>
      <c r="L94" s="32"/>
    </row>
    <row r="95" spans="1:12" s="35" customFormat="1">
      <c r="A95" s="44"/>
      <c r="F95" s="32"/>
      <c r="G95" s="32"/>
      <c r="H95" s="32"/>
      <c r="I95" s="32"/>
      <c r="J95" s="32"/>
      <c r="K95" s="32"/>
      <c r="L95" s="32"/>
    </row>
    <row r="96" spans="1:12" s="35" customFormat="1">
      <c r="A96" s="44"/>
      <c r="F96" s="32"/>
      <c r="G96" s="32"/>
      <c r="H96" s="32"/>
      <c r="I96" s="32"/>
      <c r="J96" s="32"/>
      <c r="K96" s="32"/>
      <c r="L96" s="32"/>
    </row>
    <row r="97" spans="1:12" s="35" customFormat="1">
      <c r="A97" s="44"/>
      <c r="F97" s="32"/>
      <c r="G97" s="32"/>
      <c r="H97" s="32"/>
      <c r="I97" s="32"/>
      <c r="J97" s="32"/>
      <c r="K97" s="32"/>
      <c r="L97" s="32"/>
    </row>
    <row r="98" spans="1:12" s="35" customFormat="1">
      <c r="A98" s="44"/>
      <c r="F98" s="32"/>
      <c r="G98" s="32"/>
      <c r="H98" s="32"/>
      <c r="I98" s="32"/>
      <c r="J98" s="32"/>
      <c r="K98" s="32"/>
      <c r="L98" s="32"/>
    </row>
    <row r="99" spans="1:12" s="35" customFormat="1">
      <c r="A99" s="44"/>
      <c r="F99" s="32"/>
      <c r="G99" s="32"/>
      <c r="H99" s="32"/>
      <c r="I99" s="32"/>
      <c r="J99" s="32"/>
      <c r="K99" s="32"/>
      <c r="L99" s="32"/>
    </row>
    <row r="100" spans="1:12" s="35" customFormat="1">
      <c r="A100" s="44"/>
      <c r="F100" s="32"/>
      <c r="G100" s="32"/>
      <c r="H100" s="32"/>
      <c r="I100" s="32"/>
      <c r="J100" s="32"/>
      <c r="K100" s="32"/>
      <c r="L100" s="32"/>
    </row>
    <row r="101" spans="1:12" s="35" customFormat="1">
      <c r="A101" s="44"/>
      <c r="F101" s="32"/>
      <c r="G101" s="32"/>
      <c r="H101" s="32"/>
      <c r="I101" s="32"/>
      <c r="J101" s="32"/>
      <c r="K101" s="32"/>
      <c r="L101" s="32"/>
    </row>
    <row r="102" spans="1:12" s="35" customFormat="1">
      <c r="A102" s="44"/>
      <c r="F102" s="32"/>
      <c r="G102" s="32"/>
      <c r="H102" s="32"/>
      <c r="I102" s="32"/>
      <c r="J102" s="32"/>
      <c r="K102" s="32"/>
      <c r="L102" s="32"/>
    </row>
    <row r="103" spans="1:12" s="35" customFormat="1">
      <c r="A103" s="44"/>
      <c r="F103" s="32"/>
      <c r="G103" s="32"/>
      <c r="H103" s="32"/>
      <c r="I103" s="32"/>
      <c r="J103" s="32"/>
      <c r="K103" s="32"/>
      <c r="L103" s="32"/>
    </row>
    <row r="104" spans="1:12" s="35" customFormat="1">
      <c r="A104" s="44"/>
      <c r="F104" s="32"/>
      <c r="G104" s="32"/>
      <c r="H104" s="32"/>
      <c r="I104" s="32"/>
      <c r="J104" s="32"/>
      <c r="K104" s="32"/>
      <c r="L104" s="32"/>
    </row>
    <row r="105" spans="1:12" s="35" customFormat="1">
      <c r="A105" s="44"/>
      <c r="F105" s="32"/>
      <c r="G105" s="32"/>
      <c r="H105" s="32"/>
      <c r="I105" s="32"/>
      <c r="J105" s="32"/>
      <c r="K105" s="32"/>
      <c r="L105" s="32"/>
    </row>
    <row r="106" spans="1:12" s="35" customFormat="1">
      <c r="A106" s="44"/>
      <c r="F106" s="32"/>
      <c r="G106" s="32"/>
      <c r="H106" s="32"/>
      <c r="I106" s="32"/>
      <c r="J106" s="32"/>
      <c r="K106" s="32"/>
      <c r="L106" s="32"/>
    </row>
    <row r="107" spans="1:12" s="35" customFormat="1">
      <c r="A107" s="44"/>
      <c r="F107" s="32"/>
      <c r="G107" s="32"/>
      <c r="H107" s="32"/>
      <c r="I107" s="32"/>
      <c r="J107" s="32"/>
      <c r="K107" s="32"/>
      <c r="L107" s="32"/>
    </row>
    <row r="108" spans="1:12" s="35" customFormat="1">
      <c r="A108" s="44"/>
      <c r="F108" s="32"/>
      <c r="G108" s="32"/>
      <c r="H108" s="32"/>
      <c r="I108" s="32"/>
      <c r="J108" s="32"/>
      <c r="K108" s="32"/>
      <c r="L108" s="32"/>
    </row>
    <row r="109" spans="1:12" s="35" customFormat="1">
      <c r="A109" s="44"/>
      <c r="F109" s="32"/>
      <c r="G109" s="32"/>
      <c r="H109" s="32"/>
      <c r="I109" s="32"/>
      <c r="J109" s="32"/>
      <c r="K109" s="32"/>
      <c r="L109" s="32"/>
    </row>
    <row r="110" spans="1:12" s="35" customFormat="1">
      <c r="A110" s="44"/>
      <c r="F110" s="32"/>
      <c r="G110" s="32"/>
      <c r="H110" s="32"/>
      <c r="I110" s="32"/>
      <c r="J110" s="32"/>
      <c r="K110" s="32"/>
      <c r="L110" s="32"/>
    </row>
    <row r="111" spans="1:12" s="35" customFormat="1">
      <c r="A111" s="44"/>
      <c r="F111" s="32"/>
      <c r="G111" s="32"/>
      <c r="H111" s="32"/>
      <c r="I111" s="32"/>
      <c r="J111" s="32"/>
      <c r="K111" s="32"/>
      <c r="L111" s="32"/>
    </row>
    <row r="112" spans="1:12" s="35" customFormat="1">
      <c r="A112" s="44"/>
      <c r="F112" s="32"/>
      <c r="G112" s="32"/>
      <c r="H112" s="32"/>
      <c r="I112" s="32"/>
      <c r="J112" s="32"/>
      <c r="K112" s="32"/>
      <c r="L112" s="32"/>
    </row>
    <row r="113" spans="1:12" s="35" customFormat="1">
      <c r="A113" s="44"/>
      <c r="F113" s="32"/>
      <c r="G113" s="32"/>
      <c r="H113" s="32"/>
      <c r="I113" s="32"/>
      <c r="J113" s="32"/>
      <c r="K113" s="32"/>
      <c r="L113" s="32"/>
    </row>
    <row r="114" spans="1:12" s="35" customFormat="1">
      <c r="A114" s="44"/>
      <c r="F114" s="32"/>
      <c r="G114" s="32"/>
      <c r="H114" s="32"/>
      <c r="I114" s="32"/>
      <c r="J114" s="32"/>
      <c r="K114" s="32"/>
      <c r="L114" s="32"/>
    </row>
    <row r="115" spans="1:12" s="35" customFormat="1">
      <c r="A115" s="44"/>
      <c r="F115" s="32"/>
      <c r="G115" s="32"/>
      <c r="H115" s="32"/>
      <c r="I115" s="32"/>
      <c r="J115" s="32"/>
      <c r="K115" s="32"/>
      <c r="L115" s="32"/>
    </row>
    <row r="116" spans="1:12" s="35" customFormat="1">
      <c r="A116" s="44"/>
      <c r="F116" s="32"/>
      <c r="G116" s="32"/>
      <c r="H116" s="32"/>
      <c r="I116" s="32"/>
      <c r="J116" s="32"/>
      <c r="K116" s="32"/>
      <c r="L116" s="32"/>
    </row>
    <row r="117" spans="1:12" s="35" customFormat="1">
      <c r="A117" s="44"/>
      <c r="F117" s="32"/>
      <c r="G117" s="32"/>
      <c r="H117" s="32"/>
      <c r="I117" s="32"/>
      <c r="J117" s="32"/>
      <c r="K117" s="32"/>
      <c r="L117" s="32"/>
    </row>
    <row r="118" spans="1:12" s="35" customFormat="1">
      <c r="A118" s="44"/>
      <c r="F118" s="32"/>
      <c r="G118" s="32"/>
      <c r="H118" s="32"/>
      <c r="I118" s="32"/>
      <c r="J118" s="32"/>
      <c r="K118" s="32"/>
      <c r="L118" s="32"/>
    </row>
    <row r="119" spans="1:12" s="35" customFormat="1">
      <c r="A119" s="44"/>
      <c r="F119" s="32"/>
      <c r="G119" s="32"/>
      <c r="H119" s="32"/>
      <c r="I119" s="32"/>
      <c r="J119" s="32"/>
      <c r="K119" s="32"/>
      <c r="L119" s="32"/>
    </row>
    <row r="120" spans="1:12" s="35" customFormat="1">
      <c r="A120" s="44"/>
      <c r="F120" s="32"/>
      <c r="G120" s="32"/>
      <c r="H120" s="32"/>
      <c r="I120" s="32"/>
      <c r="J120" s="32"/>
      <c r="K120" s="32"/>
      <c r="L120" s="32"/>
    </row>
    <row r="121" spans="1:12" s="35" customFormat="1">
      <c r="A121" s="44"/>
      <c r="F121" s="32"/>
      <c r="G121" s="32"/>
      <c r="H121" s="32"/>
      <c r="I121" s="32"/>
      <c r="J121" s="32"/>
      <c r="K121" s="32"/>
      <c r="L121" s="32"/>
    </row>
    <row r="122" spans="1:12" s="35" customFormat="1">
      <c r="A122" s="44"/>
      <c r="F122" s="32"/>
      <c r="G122" s="32"/>
      <c r="H122" s="32"/>
      <c r="I122" s="32"/>
      <c r="J122" s="32"/>
      <c r="K122" s="32"/>
      <c r="L122" s="32"/>
    </row>
    <row r="123" spans="1:12" s="35" customFormat="1">
      <c r="A123" s="44"/>
      <c r="F123" s="32"/>
      <c r="G123" s="32"/>
      <c r="H123" s="32"/>
      <c r="I123" s="32"/>
      <c r="J123" s="32"/>
      <c r="K123" s="32"/>
      <c r="L123" s="32"/>
    </row>
    <row r="124" spans="1:12" s="35" customFormat="1">
      <c r="A124" s="44"/>
      <c r="F124" s="32"/>
      <c r="G124" s="32"/>
      <c r="H124" s="32"/>
      <c r="I124" s="32"/>
      <c r="J124" s="32"/>
      <c r="K124" s="32"/>
      <c r="L124" s="32"/>
    </row>
    <row r="125" spans="1:12" s="35" customFormat="1">
      <c r="A125" s="44"/>
      <c r="F125" s="32"/>
      <c r="G125" s="32"/>
      <c r="H125" s="32"/>
      <c r="I125" s="32"/>
      <c r="J125" s="32"/>
      <c r="K125" s="32"/>
      <c r="L125" s="32"/>
    </row>
    <row r="126" spans="1:12" s="35" customFormat="1">
      <c r="A126" s="44"/>
      <c r="F126" s="32"/>
      <c r="G126" s="32"/>
      <c r="H126" s="32"/>
      <c r="I126" s="32"/>
      <c r="J126" s="32"/>
      <c r="K126" s="32"/>
      <c r="L126" s="32"/>
    </row>
    <row r="127" spans="1:12" s="35" customFormat="1">
      <c r="A127" s="44"/>
      <c r="F127" s="32"/>
      <c r="G127" s="32"/>
      <c r="H127" s="32"/>
      <c r="I127" s="32"/>
      <c r="J127" s="32"/>
      <c r="K127" s="32"/>
      <c r="L127" s="32"/>
    </row>
    <row r="128" spans="1:12" s="35" customFormat="1">
      <c r="A128" s="44"/>
      <c r="F128" s="32"/>
      <c r="G128" s="32"/>
      <c r="H128" s="32"/>
      <c r="I128" s="32"/>
      <c r="J128" s="32"/>
      <c r="K128" s="32"/>
      <c r="L128" s="32"/>
    </row>
    <row r="129" spans="1:12" s="35" customFormat="1">
      <c r="A129" s="44"/>
      <c r="F129" s="32"/>
      <c r="G129" s="32"/>
      <c r="H129" s="32"/>
      <c r="I129" s="32"/>
      <c r="J129" s="32"/>
      <c r="K129" s="32"/>
      <c r="L129" s="32"/>
    </row>
    <row r="130" spans="1:12" s="35" customFormat="1">
      <c r="A130" s="44"/>
      <c r="F130" s="32"/>
      <c r="G130" s="32"/>
      <c r="H130" s="32"/>
      <c r="I130" s="32"/>
      <c r="J130" s="32"/>
      <c r="K130" s="32"/>
      <c r="L130" s="32"/>
    </row>
    <row r="131" spans="1:12" s="35" customFormat="1">
      <c r="A131" s="44"/>
      <c r="F131" s="32"/>
      <c r="G131" s="32"/>
      <c r="H131" s="32"/>
      <c r="I131" s="32"/>
      <c r="J131" s="32"/>
      <c r="K131" s="32"/>
      <c r="L131" s="32"/>
    </row>
    <row r="132" spans="1:12" s="35" customFormat="1">
      <c r="A132" s="44"/>
      <c r="F132" s="32"/>
      <c r="G132" s="32"/>
      <c r="H132" s="32"/>
      <c r="I132" s="32"/>
      <c r="J132" s="32"/>
      <c r="K132" s="32"/>
      <c r="L132" s="32"/>
    </row>
    <row r="133" spans="1:12" s="35" customFormat="1">
      <c r="A133" s="44"/>
      <c r="F133" s="32"/>
      <c r="G133" s="32"/>
      <c r="H133" s="32"/>
      <c r="I133" s="32"/>
      <c r="J133" s="32"/>
      <c r="K133" s="32"/>
      <c r="L133" s="32"/>
    </row>
    <row r="134" spans="1:12" s="35" customFormat="1">
      <c r="A134" s="44"/>
      <c r="F134" s="32"/>
      <c r="G134" s="32"/>
      <c r="H134" s="32"/>
      <c r="I134" s="32"/>
      <c r="J134" s="32"/>
      <c r="K134" s="32"/>
      <c r="L134" s="32"/>
    </row>
    <row r="135" spans="1:12" s="35" customFormat="1">
      <c r="A135" s="44"/>
      <c r="F135" s="32"/>
      <c r="G135" s="32"/>
      <c r="H135" s="32"/>
      <c r="I135" s="32"/>
      <c r="J135" s="32"/>
      <c r="K135" s="32"/>
      <c r="L135" s="32"/>
    </row>
    <row r="136" spans="1:12" s="35" customFormat="1">
      <c r="A136" s="44"/>
      <c r="F136" s="32"/>
      <c r="G136" s="32"/>
      <c r="H136" s="32"/>
      <c r="I136" s="32"/>
      <c r="J136" s="32"/>
      <c r="K136" s="32"/>
      <c r="L136" s="32"/>
    </row>
    <row r="137" spans="1:12" s="35" customFormat="1">
      <c r="A137" s="44"/>
      <c r="F137" s="32"/>
      <c r="G137" s="32"/>
      <c r="H137" s="32"/>
      <c r="I137" s="32"/>
      <c r="J137" s="32"/>
      <c r="K137" s="32"/>
      <c r="L137" s="32"/>
    </row>
    <row r="138" spans="1:12" s="35" customFormat="1">
      <c r="A138" s="44"/>
      <c r="F138" s="32"/>
      <c r="G138" s="32"/>
      <c r="H138" s="32"/>
      <c r="I138" s="32"/>
      <c r="J138" s="32"/>
      <c r="K138" s="32"/>
      <c r="L138" s="32"/>
    </row>
    <row r="139" spans="1:12" s="35" customFormat="1">
      <c r="A139" s="44"/>
      <c r="F139" s="32"/>
      <c r="G139" s="32"/>
      <c r="H139" s="32"/>
      <c r="I139" s="32"/>
      <c r="J139" s="32"/>
      <c r="K139" s="32"/>
      <c r="L139" s="32"/>
    </row>
    <row r="140" spans="1:12" s="35" customFormat="1">
      <c r="A140" s="44"/>
      <c r="F140" s="32"/>
      <c r="G140" s="32"/>
      <c r="H140" s="32"/>
      <c r="I140" s="32"/>
      <c r="J140" s="32"/>
      <c r="K140" s="32"/>
      <c r="L140" s="32"/>
    </row>
    <row r="141" spans="1:12" s="35" customFormat="1">
      <c r="A141" s="44"/>
      <c r="F141" s="32"/>
      <c r="G141" s="32"/>
      <c r="H141" s="32"/>
      <c r="I141" s="32"/>
      <c r="J141" s="32"/>
      <c r="K141" s="32"/>
      <c r="L141" s="32"/>
    </row>
    <row r="142" spans="1:12" s="35" customFormat="1">
      <c r="A142" s="44"/>
      <c r="F142" s="32"/>
      <c r="G142" s="32"/>
      <c r="H142" s="32"/>
      <c r="I142" s="32"/>
      <c r="J142" s="32"/>
      <c r="K142" s="32"/>
      <c r="L142" s="32"/>
    </row>
    <row r="143" spans="1:12" s="35" customFormat="1">
      <c r="A143" s="44"/>
      <c r="F143" s="32"/>
      <c r="G143" s="32"/>
      <c r="H143" s="32"/>
      <c r="I143" s="32"/>
      <c r="J143" s="32"/>
      <c r="K143" s="32"/>
      <c r="L143" s="32"/>
    </row>
    <row r="144" spans="1:12" s="35" customFormat="1">
      <c r="A144" s="44"/>
      <c r="F144" s="32"/>
      <c r="G144" s="32"/>
      <c r="H144" s="32"/>
      <c r="I144" s="32"/>
      <c r="J144" s="32"/>
      <c r="K144" s="32"/>
      <c r="L144" s="32"/>
    </row>
    <row r="145" spans="1:12" s="35" customFormat="1">
      <c r="A145" s="44"/>
      <c r="F145" s="32"/>
      <c r="G145" s="32"/>
      <c r="H145" s="32"/>
      <c r="I145" s="32"/>
      <c r="J145" s="32"/>
      <c r="K145" s="32"/>
      <c r="L145" s="32"/>
    </row>
    <row r="146" spans="1:12" s="35" customFormat="1">
      <c r="A146" s="44"/>
      <c r="F146" s="32"/>
      <c r="G146" s="32"/>
      <c r="H146" s="32"/>
      <c r="I146" s="32"/>
      <c r="J146" s="32"/>
      <c r="K146" s="32"/>
      <c r="L146" s="32"/>
    </row>
    <row r="147" spans="1:12" s="35" customFormat="1">
      <c r="A147" s="44"/>
      <c r="F147" s="32"/>
      <c r="G147" s="32"/>
      <c r="H147" s="32"/>
      <c r="I147" s="32"/>
      <c r="J147" s="32"/>
      <c r="K147" s="32"/>
      <c r="L147" s="32"/>
    </row>
    <row r="148" spans="1:12" s="35" customFormat="1">
      <c r="A148" s="44"/>
      <c r="F148" s="32"/>
      <c r="G148" s="32"/>
      <c r="H148" s="32"/>
      <c r="I148" s="32"/>
      <c r="J148" s="32"/>
      <c r="K148" s="32"/>
      <c r="L148" s="32"/>
    </row>
    <row r="149" spans="1:12" s="35" customFormat="1">
      <c r="A149" s="44"/>
      <c r="F149" s="32"/>
      <c r="G149" s="32"/>
      <c r="H149" s="32"/>
      <c r="I149" s="32"/>
      <c r="J149" s="32"/>
      <c r="K149" s="32"/>
      <c r="L149" s="32"/>
    </row>
    <row r="150" spans="1:12" s="35" customFormat="1">
      <c r="A150" s="44"/>
      <c r="F150" s="32"/>
      <c r="G150" s="32"/>
      <c r="H150" s="32"/>
      <c r="I150" s="32"/>
      <c r="J150" s="32"/>
      <c r="K150" s="32"/>
      <c r="L150" s="32"/>
    </row>
    <row r="151" spans="1:12" s="35" customFormat="1">
      <c r="A151" s="44"/>
      <c r="F151" s="32"/>
      <c r="G151" s="32"/>
      <c r="H151" s="32"/>
      <c r="I151" s="32"/>
      <c r="J151" s="32"/>
      <c r="K151" s="32"/>
      <c r="L151" s="32"/>
    </row>
    <row r="152" spans="1:12" s="35" customFormat="1">
      <c r="A152" s="44"/>
      <c r="F152" s="32"/>
      <c r="G152" s="32"/>
      <c r="H152" s="32"/>
      <c r="I152" s="32"/>
      <c r="J152" s="32"/>
      <c r="K152" s="32"/>
      <c r="L152" s="32"/>
    </row>
    <row r="153" spans="1:12" s="35" customFormat="1">
      <c r="A153" s="44"/>
      <c r="F153" s="32"/>
      <c r="G153" s="32"/>
      <c r="H153" s="32"/>
      <c r="I153" s="32"/>
      <c r="J153" s="32"/>
      <c r="K153" s="32"/>
      <c r="L153" s="32"/>
    </row>
    <row r="154" spans="1:12" s="35" customFormat="1">
      <c r="A154" s="44"/>
      <c r="F154" s="32"/>
      <c r="G154" s="32"/>
      <c r="H154" s="32"/>
      <c r="I154" s="32"/>
      <c r="J154" s="32"/>
      <c r="K154" s="32"/>
      <c r="L154" s="32"/>
    </row>
    <row r="155" spans="1:12" s="35" customFormat="1">
      <c r="A155" s="44"/>
      <c r="F155" s="32"/>
      <c r="G155" s="32"/>
      <c r="H155" s="32"/>
      <c r="I155" s="32"/>
      <c r="J155" s="32"/>
      <c r="K155" s="32"/>
      <c r="L155" s="32"/>
    </row>
    <row r="156" spans="1:12" s="35" customFormat="1">
      <c r="A156" s="44"/>
      <c r="F156" s="32"/>
      <c r="G156" s="32"/>
      <c r="H156" s="32"/>
      <c r="I156" s="32"/>
      <c r="J156" s="32"/>
      <c r="K156" s="32"/>
      <c r="L156" s="32"/>
    </row>
    <row r="157" spans="1:12" s="35" customFormat="1">
      <c r="A157" s="44"/>
      <c r="F157" s="32"/>
      <c r="G157" s="32"/>
      <c r="H157" s="32"/>
      <c r="I157" s="32"/>
      <c r="J157" s="32"/>
      <c r="K157" s="32"/>
      <c r="L157" s="32"/>
    </row>
    <row r="158" spans="1:12" s="35" customFormat="1">
      <c r="A158" s="44"/>
      <c r="F158" s="32"/>
      <c r="G158" s="32"/>
      <c r="H158" s="32"/>
      <c r="I158" s="32"/>
      <c r="J158" s="32"/>
      <c r="K158" s="32"/>
      <c r="L158" s="32"/>
    </row>
    <row r="159" spans="1:12" s="35" customFormat="1">
      <c r="A159" s="44"/>
      <c r="F159" s="32"/>
      <c r="G159" s="32"/>
      <c r="H159" s="32"/>
      <c r="I159" s="32"/>
      <c r="J159" s="32"/>
      <c r="K159" s="32"/>
      <c r="L159" s="32"/>
    </row>
    <row r="160" spans="1:12" s="35" customFormat="1">
      <c r="A160" s="44"/>
      <c r="F160" s="32"/>
      <c r="G160" s="32"/>
      <c r="H160" s="32"/>
      <c r="I160" s="32"/>
      <c r="J160" s="32"/>
      <c r="K160" s="32"/>
      <c r="L160" s="32"/>
    </row>
    <row r="161" spans="1:12" s="35" customFormat="1">
      <c r="A161" s="44"/>
      <c r="F161" s="32"/>
      <c r="G161" s="32"/>
      <c r="H161" s="32"/>
      <c r="I161" s="32"/>
      <c r="J161" s="32"/>
      <c r="K161" s="32"/>
      <c r="L161" s="32"/>
    </row>
    <row r="162" spans="1:12" s="35" customFormat="1">
      <c r="A162" s="44"/>
      <c r="F162" s="32"/>
      <c r="G162" s="32"/>
      <c r="H162" s="32"/>
      <c r="I162" s="32"/>
      <c r="J162" s="32"/>
      <c r="K162" s="32"/>
      <c r="L162" s="32"/>
    </row>
    <row r="163" spans="1:12" s="35" customFormat="1">
      <c r="A163" s="44"/>
      <c r="F163" s="32"/>
      <c r="G163" s="32"/>
      <c r="H163" s="32"/>
      <c r="I163" s="32"/>
      <c r="J163" s="32"/>
      <c r="K163" s="32"/>
      <c r="L163" s="32"/>
    </row>
    <row r="164" spans="1:12" s="35" customFormat="1">
      <c r="A164" s="44"/>
      <c r="F164" s="32"/>
      <c r="G164" s="32"/>
      <c r="H164" s="32"/>
      <c r="I164" s="32"/>
      <c r="J164" s="32"/>
      <c r="K164" s="32"/>
      <c r="L164" s="32"/>
    </row>
    <row r="165" spans="1:12" s="35" customFormat="1">
      <c r="A165" s="44"/>
      <c r="F165" s="32"/>
      <c r="G165" s="32"/>
      <c r="H165" s="32"/>
      <c r="I165" s="32"/>
      <c r="J165" s="32"/>
      <c r="K165" s="32"/>
      <c r="L165" s="32"/>
    </row>
    <row r="166" spans="1:12" s="35" customFormat="1">
      <c r="A166" s="44"/>
      <c r="F166" s="32"/>
      <c r="G166" s="32"/>
      <c r="H166" s="32"/>
      <c r="I166" s="32"/>
      <c r="J166" s="32"/>
      <c r="K166" s="32"/>
      <c r="L166" s="32"/>
    </row>
    <row r="167" spans="1:12" s="35" customFormat="1">
      <c r="A167" s="44"/>
      <c r="F167" s="32"/>
      <c r="G167" s="32"/>
      <c r="H167" s="32"/>
      <c r="I167" s="32"/>
      <c r="J167" s="32"/>
      <c r="K167" s="32"/>
      <c r="L167" s="32"/>
    </row>
    <row r="168" spans="1:12" s="35" customFormat="1">
      <c r="A168" s="44"/>
      <c r="F168" s="32"/>
      <c r="G168" s="32"/>
      <c r="H168" s="32"/>
      <c r="I168" s="32"/>
      <c r="J168" s="32"/>
      <c r="K168" s="32"/>
      <c r="L168" s="32"/>
    </row>
    <row r="169" spans="1:12" s="35" customFormat="1">
      <c r="A169" s="44"/>
      <c r="F169" s="32"/>
      <c r="G169" s="32"/>
      <c r="H169" s="32"/>
      <c r="I169" s="32"/>
      <c r="J169" s="32"/>
      <c r="K169" s="32"/>
      <c r="L169" s="32"/>
    </row>
    <row r="170" spans="1:12" s="35" customFormat="1">
      <c r="A170" s="44"/>
      <c r="F170" s="32"/>
      <c r="G170" s="32"/>
      <c r="H170" s="32"/>
      <c r="I170" s="32"/>
      <c r="J170" s="32"/>
      <c r="K170" s="32"/>
      <c r="L170" s="32"/>
    </row>
    <row r="171" spans="1:12" s="35" customFormat="1">
      <c r="A171" s="44"/>
      <c r="F171" s="32"/>
      <c r="G171" s="32"/>
      <c r="H171" s="32"/>
      <c r="I171" s="32"/>
      <c r="J171" s="32"/>
      <c r="K171" s="32"/>
      <c r="L171" s="32"/>
    </row>
    <row r="172" spans="1:12" s="35" customFormat="1">
      <c r="A172" s="44"/>
      <c r="F172" s="32"/>
      <c r="G172" s="32"/>
      <c r="H172" s="32"/>
      <c r="I172" s="32"/>
      <c r="J172" s="32"/>
      <c r="K172" s="32"/>
      <c r="L172" s="32"/>
    </row>
    <row r="173" spans="1:12" s="35" customFormat="1">
      <c r="A173" s="44"/>
      <c r="F173" s="32"/>
      <c r="G173" s="32"/>
      <c r="H173" s="32"/>
      <c r="I173" s="32"/>
      <c r="J173" s="32"/>
      <c r="K173" s="32"/>
      <c r="L173" s="32"/>
    </row>
    <row r="174" spans="1:12" s="35" customFormat="1">
      <c r="A174" s="44"/>
      <c r="F174" s="32"/>
      <c r="G174" s="32"/>
      <c r="H174" s="32"/>
      <c r="I174" s="32"/>
      <c r="J174" s="32"/>
      <c r="K174" s="32"/>
      <c r="L174" s="32"/>
    </row>
    <row r="175" spans="1:12" s="35" customFormat="1">
      <c r="A175" s="44"/>
      <c r="F175" s="32"/>
      <c r="G175" s="32"/>
      <c r="H175" s="32"/>
      <c r="I175" s="32"/>
      <c r="J175" s="32"/>
      <c r="K175" s="32"/>
      <c r="L175" s="32"/>
    </row>
    <row r="176" spans="1:12" s="35" customFormat="1">
      <c r="A176" s="44"/>
      <c r="F176" s="32"/>
      <c r="G176" s="32"/>
      <c r="H176" s="32"/>
      <c r="I176" s="32"/>
      <c r="J176" s="32"/>
      <c r="K176" s="32"/>
      <c r="L176" s="32"/>
    </row>
    <row r="177" spans="1:12" s="35" customFormat="1">
      <c r="A177" s="44"/>
      <c r="F177" s="32"/>
      <c r="G177" s="32"/>
      <c r="H177" s="32"/>
      <c r="I177" s="32"/>
      <c r="J177" s="32"/>
      <c r="K177" s="32"/>
      <c r="L177" s="32"/>
    </row>
    <row r="178" spans="1:12" s="35" customFormat="1">
      <c r="A178" s="44"/>
      <c r="F178" s="32"/>
      <c r="G178" s="32"/>
      <c r="H178" s="32"/>
      <c r="I178" s="32"/>
      <c r="J178" s="32"/>
      <c r="K178" s="32"/>
      <c r="L178" s="32"/>
    </row>
    <row r="179" spans="1:12" s="35" customFormat="1">
      <c r="A179" s="44"/>
      <c r="F179" s="32"/>
      <c r="G179" s="32"/>
      <c r="H179" s="32"/>
      <c r="I179" s="32"/>
      <c r="J179" s="32"/>
      <c r="K179" s="32"/>
      <c r="L179" s="32"/>
    </row>
    <row r="180" spans="1:12" s="35" customFormat="1">
      <c r="A180" s="44"/>
      <c r="F180" s="32"/>
      <c r="G180" s="32"/>
      <c r="H180" s="32"/>
      <c r="I180" s="32"/>
      <c r="J180" s="32"/>
      <c r="K180" s="32"/>
      <c r="L180" s="32"/>
    </row>
    <row r="181" spans="1:12" s="35" customFormat="1">
      <c r="A181" s="44"/>
      <c r="F181" s="32"/>
      <c r="G181" s="32"/>
      <c r="H181" s="32"/>
      <c r="I181" s="32"/>
      <c r="J181" s="32"/>
      <c r="K181" s="32"/>
      <c r="L181" s="32"/>
    </row>
    <row r="182" spans="1:12" s="35" customFormat="1">
      <c r="A182" s="44"/>
      <c r="F182" s="32"/>
      <c r="G182" s="32"/>
      <c r="H182" s="32"/>
      <c r="I182" s="32"/>
      <c r="J182" s="32"/>
      <c r="K182" s="32"/>
      <c r="L182" s="32"/>
    </row>
    <row r="183" spans="1:12" s="35" customFormat="1">
      <c r="A183" s="44"/>
      <c r="F183" s="32"/>
      <c r="G183" s="32"/>
      <c r="H183" s="32"/>
      <c r="I183" s="32"/>
      <c r="J183" s="32"/>
      <c r="K183" s="32"/>
      <c r="L183" s="32"/>
    </row>
    <row r="184" spans="1:12" s="35" customFormat="1">
      <c r="A184" s="44"/>
      <c r="F184" s="32"/>
      <c r="G184" s="32"/>
      <c r="H184" s="32"/>
      <c r="I184" s="32"/>
      <c r="J184" s="32"/>
      <c r="K184" s="32"/>
      <c r="L184" s="32"/>
    </row>
    <row r="185" spans="1:12" s="35" customFormat="1">
      <c r="A185" s="44"/>
      <c r="F185" s="32"/>
      <c r="G185" s="32"/>
      <c r="H185" s="32"/>
      <c r="I185" s="32"/>
      <c r="J185" s="32"/>
      <c r="K185" s="32"/>
      <c r="L185" s="32"/>
    </row>
    <row r="186" spans="1:12" s="35" customFormat="1">
      <c r="A186" s="44"/>
      <c r="F186" s="32"/>
      <c r="G186" s="32"/>
      <c r="H186" s="32"/>
      <c r="I186" s="32"/>
      <c r="J186" s="32"/>
      <c r="K186" s="32"/>
      <c r="L186" s="32"/>
    </row>
    <row r="187" spans="1:12" s="35" customFormat="1">
      <c r="A187" s="44"/>
      <c r="F187" s="32"/>
      <c r="G187" s="32"/>
      <c r="H187" s="32"/>
      <c r="I187" s="32"/>
      <c r="J187" s="32"/>
      <c r="K187" s="32"/>
      <c r="L187" s="32"/>
    </row>
    <row r="188" spans="1:12" s="35" customFormat="1">
      <c r="A188" s="44"/>
      <c r="F188" s="32"/>
      <c r="G188" s="32"/>
      <c r="H188" s="32"/>
      <c r="I188" s="32"/>
      <c r="J188" s="32"/>
      <c r="K188" s="32"/>
      <c r="L188" s="32"/>
    </row>
    <row r="189" spans="1:12" s="35" customFormat="1">
      <c r="A189" s="44"/>
      <c r="F189" s="32"/>
      <c r="G189" s="32"/>
      <c r="H189" s="32"/>
      <c r="I189" s="32"/>
      <c r="J189" s="32"/>
      <c r="K189" s="32"/>
      <c r="L189" s="32"/>
    </row>
    <row r="190" spans="1:12" s="35" customFormat="1">
      <c r="A190" s="44"/>
      <c r="F190" s="32"/>
      <c r="G190" s="32"/>
      <c r="H190" s="32"/>
      <c r="I190" s="32"/>
      <c r="J190" s="32"/>
      <c r="K190" s="32"/>
      <c r="L190" s="32"/>
    </row>
    <row r="191" spans="1:12" s="35" customFormat="1">
      <c r="A191" s="44"/>
      <c r="F191" s="32"/>
      <c r="G191" s="32"/>
      <c r="H191" s="32"/>
      <c r="I191" s="32"/>
      <c r="J191" s="32"/>
      <c r="K191" s="32"/>
      <c r="L191" s="32"/>
    </row>
    <row r="192" spans="1:12" s="35" customFormat="1">
      <c r="A192" s="44"/>
      <c r="F192" s="32"/>
      <c r="G192" s="32"/>
      <c r="H192" s="32"/>
      <c r="I192" s="32"/>
      <c r="J192" s="32"/>
      <c r="K192" s="32"/>
      <c r="L192" s="32"/>
    </row>
  </sheetData>
  <mergeCells count="14">
    <mergeCell ref="C42:F42"/>
    <mergeCell ref="H42:J42"/>
    <mergeCell ref="A7:J7"/>
    <mergeCell ref="A17:J17"/>
    <mergeCell ref="C41:F41"/>
    <mergeCell ref="H41:J41"/>
    <mergeCell ref="A2:J2"/>
    <mergeCell ref="A4:A5"/>
    <mergeCell ref="B4:B5"/>
    <mergeCell ref="C4:C5"/>
    <mergeCell ref="F4:F5"/>
    <mergeCell ref="G4:J4"/>
    <mergeCell ref="D4:D5"/>
    <mergeCell ref="E4:E5"/>
  </mergeCells>
  <phoneticPr fontId="3" type="noConversion"/>
  <pageMargins left="0.70866141732283472" right="0.19685039370078741" top="0.78740157480314965" bottom="0.78740157480314965" header="0.19685039370078741" footer="0.11811023622047245"/>
  <pageSetup paperSize="9" scale="50" fitToHeight="2" orientation="portrait" verticalDpi="300" r:id="rId1"/>
  <headerFooter alignWithMargins="0">
    <oddHeader>&amp;C&amp;"Times New Roman,обычный"&amp;14 7&amp;R&amp;"Times New Roman,обычный"&amp;14Продовження додатка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84"/>
  <sheetViews>
    <sheetView view="pageBreakPreview" topLeftCell="A60" zoomScale="60" zoomScaleNormal="57" workbookViewId="0">
      <selection activeCell="H73" sqref="H73:K81"/>
    </sheetView>
  </sheetViews>
  <sheetFormatPr defaultRowHeight="18.75" outlineLevelRow="1"/>
  <cols>
    <col min="1" max="1" width="47.42578125" style="2" customWidth="1"/>
    <col min="2" max="2" width="11.7109375" style="2" customWidth="1"/>
    <col min="3" max="3" width="10.7109375" style="2" customWidth="1"/>
    <col min="4" max="4" width="10.5703125" style="2" customWidth="1"/>
    <col min="5" max="5" width="13.5703125" style="2" customWidth="1"/>
    <col min="6" max="6" width="10" style="2" customWidth="1"/>
    <col min="7" max="7" width="24.7109375" style="2" customWidth="1"/>
    <col min="8" max="8" width="10.28515625" customWidth="1"/>
  </cols>
  <sheetData>
    <row r="1" spans="1:8">
      <c r="A1" s="502" t="s">
        <v>536</v>
      </c>
      <c r="B1" s="502"/>
      <c r="C1" s="502"/>
      <c r="D1" s="502"/>
      <c r="E1" s="502"/>
      <c r="F1" s="502"/>
      <c r="G1" s="502"/>
    </row>
    <row r="2" spans="1:8">
      <c r="A2" s="456"/>
      <c r="B2" s="456"/>
      <c r="C2" s="456"/>
      <c r="D2" s="456"/>
      <c r="E2" s="456"/>
      <c r="F2" s="456"/>
      <c r="G2" s="456"/>
    </row>
    <row r="3" spans="1:8">
      <c r="A3" s="18"/>
      <c r="B3" s="18"/>
      <c r="C3" s="18"/>
      <c r="D3" s="18"/>
      <c r="E3" s="18"/>
      <c r="F3" s="18"/>
      <c r="G3" s="18"/>
    </row>
    <row r="4" spans="1:8">
      <c r="A4" s="563" t="s">
        <v>183</v>
      </c>
      <c r="B4" s="565" t="s">
        <v>0</v>
      </c>
      <c r="C4" s="500" t="s">
        <v>414</v>
      </c>
      <c r="D4" s="501"/>
      <c r="E4" s="501"/>
      <c r="F4" s="501"/>
      <c r="G4" s="567"/>
    </row>
    <row r="5" spans="1:8" ht="92.25" customHeight="1">
      <c r="A5" s="564"/>
      <c r="B5" s="566"/>
      <c r="C5" s="259" t="s">
        <v>412</v>
      </c>
      <c r="D5" s="259" t="s">
        <v>415</v>
      </c>
      <c r="E5" s="259" t="s">
        <v>416</v>
      </c>
      <c r="F5" s="259" t="s">
        <v>418</v>
      </c>
      <c r="G5" s="259" t="s">
        <v>419</v>
      </c>
    </row>
    <row r="6" spans="1:8">
      <c r="A6" s="23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</row>
    <row r="7" spans="1:8">
      <c r="A7" s="550" t="s">
        <v>118</v>
      </c>
      <c r="B7" s="550"/>
      <c r="C7" s="550"/>
      <c r="D7" s="550"/>
      <c r="E7" s="550"/>
      <c r="F7" s="550"/>
      <c r="G7" s="550"/>
    </row>
    <row r="8" spans="1:8" ht="56.25">
      <c r="A8" s="33" t="s">
        <v>174</v>
      </c>
      <c r="B8" s="317">
        <v>1200</v>
      </c>
      <c r="C8" s="240">
        <f>'3.1.Рух грошових коштів'!G8+'3.1.Рух грошових коштів'!H8</f>
        <v>20.036000000000193</v>
      </c>
      <c r="D8" s="240">
        <f>'1.Фінансовий результат'!D96</f>
        <v>20.00000000000135</v>
      </c>
      <c r="E8" s="240">
        <f>D8-C8</f>
        <v>-3.599999999884318E-2</v>
      </c>
      <c r="F8" s="56">
        <f>D8/C8*100</f>
        <v>99.820323417853658</v>
      </c>
      <c r="G8" s="56"/>
    </row>
    <row r="9" spans="1:8" ht="21" customHeight="1">
      <c r="A9" s="33" t="s">
        <v>131</v>
      </c>
      <c r="B9" s="318"/>
      <c r="C9" s="56"/>
      <c r="D9" s="422"/>
      <c r="E9" s="56"/>
      <c r="F9" s="56"/>
      <c r="G9" s="56"/>
    </row>
    <row r="10" spans="1:8" s="267" customFormat="1" ht="21.75" customHeight="1">
      <c r="A10" s="297" t="s">
        <v>133</v>
      </c>
      <c r="B10" s="327">
        <v>3000</v>
      </c>
      <c r="C10" s="283">
        <f>'3.1.Рух грошових коштів'!G10+'3.1.Рух грошових коштів'!H10</f>
        <v>0</v>
      </c>
      <c r="D10" s="428"/>
      <c r="E10" s="283"/>
      <c r="F10" s="283"/>
      <c r="G10" s="283"/>
      <c r="H10"/>
    </row>
    <row r="11" spans="1:8" s="267" customFormat="1">
      <c r="A11" s="297" t="s">
        <v>134</v>
      </c>
      <c r="B11" s="327">
        <v>3010</v>
      </c>
      <c r="C11" s="283">
        <f>'3.1.Рух грошових коштів'!G11+'3.1.Рух грошових коштів'!H11</f>
        <v>0</v>
      </c>
      <c r="D11" s="428"/>
      <c r="E11" s="283"/>
      <c r="F11" s="283"/>
      <c r="G11" s="283"/>
      <c r="H11"/>
    </row>
    <row r="12" spans="1:8" s="267" customFormat="1" ht="42.75" customHeight="1">
      <c r="A12" s="297" t="s">
        <v>135</v>
      </c>
      <c r="B12" s="327">
        <v>3020</v>
      </c>
      <c r="C12" s="283">
        <f>'3.1.Рух грошових коштів'!G12+'3.1.Рух грошових коштів'!H12</f>
        <v>0</v>
      </c>
      <c r="D12" s="428"/>
      <c r="E12" s="283"/>
      <c r="F12" s="283"/>
      <c r="G12" s="283"/>
      <c r="H12"/>
    </row>
    <row r="13" spans="1:8" s="267" customFormat="1" ht="56.25" customHeight="1">
      <c r="A13" s="297" t="s">
        <v>136</v>
      </c>
      <c r="B13" s="327">
        <v>3030</v>
      </c>
      <c r="C13" s="283">
        <f>'3.1.Рух грошових коштів'!G13+'3.1.Рух грошових коштів'!H13</f>
        <v>0</v>
      </c>
      <c r="D13" s="428"/>
      <c r="E13" s="283"/>
      <c r="F13" s="283"/>
      <c r="G13" s="283"/>
      <c r="H13"/>
    </row>
    <row r="14" spans="1:8" ht="56.25">
      <c r="A14" s="229" t="s">
        <v>174</v>
      </c>
      <c r="B14" s="455">
        <v>3040</v>
      </c>
      <c r="C14" s="459">
        <f>'3.1.Рух грошових коштів'!G14+'3.1.Рух грошових коштів'!H14</f>
        <v>0</v>
      </c>
      <c r="D14" s="318"/>
      <c r="E14" s="56"/>
      <c r="F14" s="56"/>
      <c r="G14" s="56"/>
    </row>
    <row r="15" spans="1:8" ht="36.75" customHeight="1">
      <c r="A15" s="33" t="s">
        <v>137</v>
      </c>
      <c r="B15" s="230">
        <v>3050</v>
      </c>
      <c r="C15" s="283">
        <f>'3.1.Рух грошових коштів'!G15+'3.1.Рух грошових коштів'!H15</f>
        <v>0</v>
      </c>
      <c r="E15" s="56"/>
      <c r="F15" s="56"/>
      <c r="G15" s="56"/>
    </row>
    <row r="16" spans="1:8" ht="39" customHeight="1">
      <c r="A16" s="33" t="s">
        <v>138</v>
      </c>
      <c r="B16" s="230">
        <v>3060</v>
      </c>
      <c r="C16" s="283">
        <f>'3.1.Рух грошових коштів'!G16+'3.1.Рух грошових коштів'!H16</f>
        <v>0</v>
      </c>
      <c r="D16" s="240"/>
      <c r="E16" s="56"/>
      <c r="F16" s="56"/>
      <c r="G16" s="56"/>
    </row>
    <row r="17" spans="1:7" ht="39" customHeight="1">
      <c r="A17" s="229" t="s">
        <v>310</v>
      </c>
      <c r="B17" s="230">
        <v>3070</v>
      </c>
      <c r="C17" s="82">
        <f>C18</f>
        <v>7495.3</v>
      </c>
      <c r="D17" s="82">
        <f>D18</f>
        <v>8705.4000000000015</v>
      </c>
      <c r="E17" s="82">
        <f>D17-C17</f>
        <v>1210.1000000000013</v>
      </c>
      <c r="F17" s="82">
        <f>D17/C17*100</f>
        <v>116.14478406468054</v>
      </c>
    </row>
    <row r="18" spans="1:7">
      <c r="A18" s="113" t="s">
        <v>304</v>
      </c>
      <c r="B18" s="112" t="s">
        <v>312</v>
      </c>
      <c r="C18" s="240">
        <f>C19</f>
        <v>7495.3</v>
      </c>
      <c r="D18" s="240">
        <f>D19</f>
        <v>8705.4000000000015</v>
      </c>
      <c r="E18" s="240">
        <f t="shared" ref="E18:E28" si="0">D18-C18</f>
        <v>1210.1000000000013</v>
      </c>
      <c r="F18" s="240">
        <f t="shared" ref="F18:F28" si="1">D18/C18*100</f>
        <v>116.14478406468054</v>
      </c>
      <c r="G18" s="56"/>
    </row>
    <row r="19" spans="1:7">
      <c r="A19" s="143" t="s">
        <v>305</v>
      </c>
      <c r="B19" s="112" t="s">
        <v>315</v>
      </c>
      <c r="C19" s="240">
        <f>'3.1.Рух грошових коштів'!G19+'3.1.Рух грошових коштів'!H19</f>
        <v>7495.3</v>
      </c>
      <c r="D19" s="402">
        <f>'1.Фінансовий результат'!D13</f>
        <v>8705.4000000000015</v>
      </c>
      <c r="E19" s="240">
        <f t="shared" si="0"/>
        <v>1210.1000000000013</v>
      </c>
      <c r="F19" s="240">
        <f t="shared" si="1"/>
        <v>116.14478406468054</v>
      </c>
      <c r="G19" s="56"/>
    </row>
    <row r="20" spans="1:7">
      <c r="A20" s="113" t="s">
        <v>306</v>
      </c>
      <c r="B20" s="222" t="s">
        <v>313</v>
      </c>
      <c r="C20" s="82">
        <f>'1.Фінансовий результат'!C108</f>
        <v>7475.264000000001</v>
      </c>
      <c r="D20" s="82">
        <f>'1.Фінансовий результат'!D108</f>
        <v>8680.1</v>
      </c>
      <c r="E20" s="82">
        <f t="shared" si="0"/>
        <v>1204.8359999999993</v>
      </c>
      <c r="F20" s="82">
        <f t="shared" si="1"/>
        <v>116.11763811953664</v>
      </c>
      <c r="G20" s="56"/>
    </row>
    <row r="21" spans="1:7">
      <c r="A21" s="143" t="s">
        <v>307</v>
      </c>
      <c r="B21" s="112" t="s">
        <v>316</v>
      </c>
      <c r="C21" s="457">
        <f>C20-C22-C23-C24-C25</f>
        <v>2238.8210000000008</v>
      </c>
      <c r="D21" s="402">
        <f>D20-D22-D23-D24-D25</f>
        <v>2360.3000000000002</v>
      </c>
      <c r="E21" s="240">
        <f t="shared" si="0"/>
        <v>121.47899999999936</v>
      </c>
      <c r="F21" s="240">
        <f t="shared" si="1"/>
        <v>105.42602557328162</v>
      </c>
      <c r="G21" s="56"/>
    </row>
    <row r="22" spans="1:7">
      <c r="A22" s="143" t="s">
        <v>308</v>
      </c>
      <c r="B22" s="112" t="s">
        <v>317</v>
      </c>
      <c r="C22" s="457">
        <f>'1.Фінансовий результат'!C104</f>
        <v>3622.2000000000003</v>
      </c>
      <c r="D22" s="402">
        <f>'1.Фінансовий результат'!D104</f>
        <v>4398</v>
      </c>
      <c r="E22" s="240">
        <f t="shared" si="0"/>
        <v>775.79999999999973</v>
      </c>
      <c r="F22" s="240">
        <f t="shared" si="1"/>
        <v>121.41792280934239</v>
      </c>
      <c r="G22" s="56"/>
    </row>
    <row r="23" spans="1:7">
      <c r="A23" s="143" t="s">
        <v>3</v>
      </c>
      <c r="B23" s="112" t="s">
        <v>318</v>
      </c>
      <c r="C23" s="457">
        <f>'1.Фінансовий результат'!C105</f>
        <v>796.76400000000001</v>
      </c>
      <c r="D23" s="402">
        <f>'1.Фінансовий результат'!D105</f>
        <v>933.99999999999989</v>
      </c>
      <c r="E23" s="240">
        <f t="shared" si="0"/>
        <v>137.23599999999988</v>
      </c>
      <c r="F23" s="240">
        <f t="shared" si="1"/>
        <v>117.22417177482917</v>
      </c>
      <c r="G23" s="56"/>
    </row>
    <row r="24" spans="1:7">
      <c r="A24" s="143" t="s">
        <v>439</v>
      </c>
      <c r="B24" s="112" t="s">
        <v>319</v>
      </c>
      <c r="C24" s="453">
        <f>'3.1.Рух грошових коштів'!G24+'3.1.Рух грошових коштів'!H24</f>
        <v>768.12900000000002</v>
      </c>
      <c r="D24" s="464">
        <f>'2.Розрахунки з бюджетом'!D22</f>
        <v>939.8</v>
      </c>
      <c r="E24" s="240">
        <f t="shared" si="0"/>
        <v>171.67099999999994</v>
      </c>
      <c r="F24" s="240">
        <f t="shared" si="1"/>
        <v>122.34924081762306</v>
      </c>
      <c r="G24" s="56"/>
    </row>
    <row r="25" spans="1:7">
      <c r="A25" s="143" t="s">
        <v>440</v>
      </c>
      <c r="B25" s="112" t="s">
        <v>320</v>
      </c>
      <c r="C25" s="457">
        <f>'2.Розрахунки з бюджетом'!C20</f>
        <v>49.349999999999994</v>
      </c>
      <c r="D25" s="240">
        <f>'2.Розрахунки з бюджетом'!D20</f>
        <v>48</v>
      </c>
      <c r="E25" s="240">
        <f t="shared" si="0"/>
        <v>-1.3499999999999943</v>
      </c>
      <c r="F25" s="240">
        <f t="shared" si="1"/>
        <v>97.264437689969611</v>
      </c>
      <c r="G25" s="56"/>
    </row>
    <row r="26" spans="1:7">
      <c r="A26" s="143" t="s">
        <v>314</v>
      </c>
      <c r="B26" s="112" t="s">
        <v>321</v>
      </c>
      <c r="C26" s="457">
        <f>'1.Фінансовий результат'!C92</f>
        <v>0</v>
      </c>
      <c r="D26" s="240">
        <f>'1.Фінансовий результат'!D92</f>
        <v>0</v>
      </c>
      <c r="E26" s="240"/>
      <c r="F26" s="240"/>
      <c r="G26" s="56"/>
    </row>
    <row r="27" spans="1:7" ht="23.25" customHeight="1">
      <c r="A27" s="33" t="s">
        <v>132</v>
      </c>
      <c r="B27" s="230">
        <v>3080</v>
      </c>
      <c r="C27" s="457">
        <f>'1.Фінансовий результат'!C94</f>
        <v>3.6064800000000345</v>
      </c>
      <c r="D27" s="240">
        <f>'1.Фінансовий результат'!D94</f>
        <v>5</v>
      </c>
      <c r="E27" s="240">
        <f t="shared" si="0"/>
        <v>1.3935199999999655</v>
      </c>
      <c r="F27" s="240">
        <f t="shared" si="1"/>
        <v>138.63933808034295</v>
      </c>
      <c r="G27" s="56"/>
    </row>
    <row r="28" spans="1:7" ht="39" customHeight="1">
      <c r="A28" s="225" t="s">
        <v>117</v>
      </c>
      <c r="B28" s="230">
        <v>3090</v>
      </c>
      <c r="C28" s="82">
        <f>C18-C20-C27</f>
        <v>16.429519999999115</v>
      </c>
      <c r="D28" s="82">
        <f>D18-D20-D27</f>
        <v>20.300000000001091</v>
      </c>
      <c r="E28" s="82">
        <f t="shared" si="0"/>
        <v>3.8704800000019759</v>
      </c>
      <c r="F28" s="82">
        <f t="shared" si="1"/>
        <v>123.5580832550323</v>
      </c>
      <c r="G28" s="56"/>
    </row>
    <row r="29" spans="1:7">
      <c r="A29" s="550" t="s">
        <v>119</v>
      </c>
      <c r="B29" s="550"/>
      <c r="C29" s="550"/>
      <c r="D29" s="550"/>
      <c r="E29" s="550"/>
      <c r="F29" s="550"/>
      <c r="G29" s="550"/>
    </row>
    <row r="30" spans="1:7">
      <c r="A30" s="229" t="s">
        <v>187</v>
      </c>
      <c r="B30" s="317"/>
      <c r="C30" s="240"/>
      <c r="D30" s="240"/>
      <c r="E30" s="240"/>
      <c r="F30" s="240"/>
      <c r="G30" s="240"/>
    </row>
    <row r="31" spans="1:7" ht="22.5" customHeight="1">
      <c r="A31" s="8" t="s">
        <v>14</v>
      </c>
      <c r="B31" s="317">
        <v>3200</v>
      </c>
      <c r="C31" s="240">
        <f>'3.1.Рух грошових коштів'!G31+'3.1.Рух грошових коштів'!H31</f>
        <v>0</v>
      </c>
      <c r="D31" s="240"/>
      <c r="E31" s="240"/>
      <c r="F31" s="240"/>
      <c r="G31" s="240"/>
    </row>
    <row r="32" spans="1:7" ht="37.5">
      <c r="A32" s="8" t="s">
        <v>15</v>
      </c>
      <c r="B32" s="317">
        <v>3210</v>
      </c>
      <c r="C32" s="453">
        <f>'3.1.Рух грошових коштів'!G32+'3.1.Рух грошових коштів'!H32</f>
        <v>0</v>
      </c>
      <c r="D32" s="240"/>
      <c r="E32" s="240"/>
      <c r="F32" s="240"/>
      <c r="G32" s="240"/>
    </row>
    <row r="33" spans="1:7" ht="37.5">
      <c r="A33" s="8" t="s">
        <v>36</v>
      </c>
      <c r="B33" s="317">
        <v>3220</v>
      </c>
      <c r="C33" s="453">
        <f>'3.1.Рух грошових коштів'!G33+'3.1.Рух грошових коштів'!H33</f>
        <v>0</v>
      </c>
      <c r="D33" s="240"/>
      <c r="E33" s="240"/>
      <c r="F33" s="240"/>
      <c r="G33" s="240"/>
    </row>
    <row r="34" spans="1:7">
      <c r="A34" s="33" t="s">
        <v>441</v>
      </c>
      <c r="B34" s="317"/>
      <c r="C34" s="453">
        <f>'3.1.Рух грошових коштів'!G34+'3.1.Рух грошових коштів'!H34</f>
        <v>0</v>
      </c>
      <c r="D34" s="240"/>
      <c r="E34" s="240"/>
      <c r="F34" s="240"/>
      <c r="G34" s="240"/>
    </row>
    <row r="35" spans="1:7">
      <c r="A35" s="8" t="s">
        <v>123</v>
      </c>
      <c r="B35" s="317">
        <v>3230</v>
      </c>
      <c r="C35" s="453">
        <f>'3.1.Рух грошових коштів'!G35+'3.1.Рух грошових коштів'!H35</f>
        <v>0</v>
      </c>
      <c r="D35" s="240"/>
      <c r="E35" s="240"/>
      <c r="F35" s="240"/>
      <c r="G35" s="240"/>
    </row>
    <row r="36" spans="1:7">
      <c r="A36" s="8" t="s">
        <v>124</v>
      </c>
      <c r="B36" s="317">
        <v>3240</v>
      </c>
      <c r="C36" s="453">
        <f>'3.1.Рух грошових коштів'!G36+'3.1.Рух грошових коштів'!H36</f>
        <v>0</v>
      </c>
      <c r="D36" s="240"/>
      <c r="E36" s="240"/>
      <c r="F36" s="240"/>
      <c r="G36" s="240"/>
    </row>
    <row r="37" spans="1:7">
      <c r="A37" s="33" t="s">
        <v>125</v>
      </c>
      <c r="B37" s="317">
        <v>3250</v>
      </c>
      <c r="C37" s="453">
        <f>'3.1.Рух грошових коштів'!G37+'3.1.Рух грошових коштів'!H37</f>
        <v>0</v>
      </c>
      <c r="D37" s="240"/>
      <c r="E37" s="240"/>
      <c r="F37" s="240"/>
      <c r="G37" s="240"/>
    </row>
    <row r="38" spans="1:7" ht="24.75" customHeight="1">
      <c r="A38" s="8" t="s">
        <v>93</v>
      </c>
      <c r="B38" s="317">
        <v>3260</v>
      </c>
      <c r="C38" s="453">
        <f>'3.1.Рух грошових коштів'!G38+'3.1.Рух грошових коштів'!H38</f>
        <v>0</v>
      </c>
      <c r="D38" s="240"/>
      <c r="E38" s="240"/>
      <c r="F38" s="240"/>
      <c r="G38" s="240"/>
    </row>
    <row r="39" spans="1:7">
      <c r="A39" s="229" t="s">
        <v>189</v>
      </c>
      <c r="B39" s="317"/>
      <c r="C39" s="453">
        <f>'3.1.Рух грошових коштів'!G39+'3.1.Рух грошових коштів'!H39</f>
        <v>0</v>
      </c>
      <c r="D39" s="240"/>
      <c r="E39" s="240"/>
      <c r="F39" s="240"/>
      <c r="G39" s="240"/>
    </row>
    <row r="40" spans="1:7" ht="37.5" customHeight="1">
      <c r="A40" s="326" t="s">
        <v>94</v>
      </c>
      <c r="B40" s="317">
        <v>3270</v>
      </c>
      <c r="C40" s="453">
        <f>'3.1.Рух грошових коштів'!G40+'3.1.Рух грошових коштів'!H40</f>
        <v>0</v>
      </c>
      <c r="D40" s="407"/>
      <c r="E40" s="240"/>
      <c r="F40" s="240"/>
      <c r="G40" s="240"/>
    </row>
    <row r="41" spans="1:7" ht="37.5">
      <c r="A41" s="8" t="s">
        <v>95</v>
      </c>
      <c r="B41" s="317">
        <v>3280</v>
      </c>
      <c r="C41" s="453">
        <f>'3.1.Рух грошових коштів'!G41+'3.1.Рух грошових коштів'!H41</f>
        <v>0</v>
      </c>
      <c r="D41" s="240"/>
      <c r="E41" s="240"/>
      <c r="F41" s="240"/>
      <c r="G41" s="240"/>
    </row>
    <row r="42" spans="1:7" ht="41.25" customHeight="1">
      <c r="A42" s="8" t="s">
        <v>96</v>
      </c>
      <c r="B42" s="317">
        <v>3290</v>
      </c>
      <c r="C42" s="453">
        <f>'3.1.Рух грошових коштів'!G42+'3.1.Рух грошових коштів'!H42</f>
        <v>0</v>
      </c>
      <c r="D42" s="240"/>
      <c r="E42" s="240"/>
      <c r="F42" s="240"/>
      <c r="G42" s="240"/>
    </row>
    <row r="43" spans="1:7">
      <c r="A43" s="8" t="s">
        <v>37</v>
      </c>
      <c r="B43" s="317">
        <v>3300</v>
      </c>
      <c r="C43" s="453">
        <f>'3.1.Рух грошових коштів'!G43+'3.1.Рух грошових коштів'!H43</f>
        <v>0</v>
      </c>
      <c r="D43" s="240"/>
      <c r="E43" s="240"/>
      <c r="F43" s="240"/>
      <c r="G43" s="240"/>
    </row>
    <row r="44" spans="1:7">
      <c r="A44" s="8" t="s">
        <v>87</v>
      </c>
      <c r="B44" s="317">
        <v>3310</v>
      </c>
      <c r="C44" s="453">
        <f>'3.1.Рух грошових коштів'!G44+'3.1.Рух грошових коштів'!H44</f>
        <v>0</v>
      </c>
      <c r="D44" s="240"/>
      <c r="E44" s="240"/>
      <c r="F44" s="240"/>
      <c r="G44" s="240"/>
    </row>
    <row r="45" spans="1:7" ht="37.5">
      <c r="A45" s="229" t="s">
        <v>120</v>
      </c>
      <c r="B45" s="317">
        <v>3320</v>
      </c>
      <c r="C45" s="453">
        <f>'3.1.Рух грошових коштів'!G45+'3.1.Рух грошових коштів'!H45</f>
        <v>0</v>
      </c>
      <c r="D45" s="82">
        <f>SUM(D31:D38)+SUM(D40:D44)</f>
        <v>0</v>
      </c>
      <c r="E45" s="240"/>
      <c r="F45" s="240"/>
      <c r="G45" s="240"/>
    </row>
    <row r="46" spans="1:7">
      <c r="A46" s="550" t="s">
        <v>121</v>
      </c>
      <c r="B46" s="550"/>
      <c r="C46" s="550"/>
      <c r="D46" s="550"/>
      <c r="E46" s="550"/>
      <c r="F46" s="550"/>
      <c r="G46" s="550"/>
    </row>
    <row r="47" spans="1:7">
      <c r="A47" s="229" t="s">
        <v>188</v>
      </c>
      <c r="B47" s="317"/>
      <c r="C47" s="56"/>
      <c r="D47" s="56"/>
      <c r="E47" s="56"/>
      <c r="F47" s="56"/>
      <c r="G47" s="56"/>
    </row>
    <row r="48" spans="1:7">
      <c r="A48" s="33" t="s">
        <v>126</v>
      </c>
      <c r="B48" s="317">
        <v>3400</v>
      </c>
      <c r="C48" s="56">
        <f>'3.1.Рух грошових коштів'!G48+'3.1.Рух грошових коштів'!H48</f>
        <v>0</v>
      </c>
      <c r="D48" s="56"/>
      <c r="E48" s="56"/>
      <c r="F48" s="56"/>
      <c r="G48" s="56"/>
    </row>
    <row r="49" spans="1:7" ht="39" customHeight="1">
      <c r="A49" s="8" t="s">
        <v>70</v>
      </c>
      <c r="B49" s="228"/>
      <c r="C49" s="56">
        <f>'3.1.Рух грошових коштів'!G49+'3.1.Рух грошових коштів'!H49</f>
        <v>0</v>
      </c>
      <c r="D49" s="56"/>
      <c r="E49" s="56"/>
      <c r="F49" s="56"/>
      <c r="G49" s="56"/>
    </row>
    <row r="50" spans="1:7" s="267" customFormat="1">
      <c r="A50" s="269" t="s">
        <v>69</v>
      </c>
      <c r="B50" s="328">
        <v>3410</v>
      </c>
      <c r="C50" s="56">
        <f>'3.1.Рух грошових коштів'!G50+'3.1.Рух грошових коштів'!H50</f>
        <v>0</v>
      </c>
      <c r="D50" s="283"/>
      <c r="E50" s="283"/>
      <c r="F50" s="283"/>
      <c r="G50" s="283"/>
    </row>
    <row r="51" spans="1:7" s="267" customFormat="1">
      <c r="A51" s="269" t="s">
        <v>74</v>
      </c>
      <c r="B51" s="327">
        <v>3420</v>
      </c>
      <c r="C51" s="56">
        <f>'3.1.Рух грошових коштів'!G51+'3.1.Рух грошових коштів'!H51</f>
        <v>0</v>
      </c>
      <c r="D51" s="283"/>
      <c r="E51" s="283"/>
      <c r="F51" s="283"/>
      <c r="G51" s="283"/>
    </row>
    <row r="52" spans="1:7" s="267" customFormat="1">
      <c r="A52" s="269" t="s">
        <v>97</v>
      </c>
      <c r="B52" s="328">
        <v>3430</v>
      </c>
      <c r="C52" s="56">
        <f>'3.1.Рух грошових коштів'!G52+'3.1.Рух грошових коштів'!H52</f>
        <v>0</v>
      </c>
      <c r="D52" s="283"/>
      <c r="E52" s="283"/>
      <c r="F52" s="283"/>
      <c r="G52" s="283"/>
    </row>
    <row r="53" spans="1:7" ht="56.25">
      <c r="A53" s="8" t="s">
        <v>72</v>
      </c>
      <c r="B53" s="317"/>
      <c r="C53" s="56">
        <f>'3.1.Рух грошових коштів'!G53+'3.1.Рух грошових коштів'!H53</f>
        <v>0</v>
      </c>
      <c r="D53" s="490">
        <v>5.7</v>
      </c>
      <c r="E53" s="56"/>
      <c r="F53" s="56"/>
      <c r="G53" s="56"/>
    </row>
    <row r="54" spans="1:7" s="267" customFormat="1">
      <c r="A54" s="269" t="s">
        <v>69</v>
      </c>
      <c r="B54" s="327">
        <v>3440</v>
      </c>
      <c r="C54" s="56">
        <f>'3.1.Рух грошових коштів'!G54+'3.1.Рух грошових коштів'!H54</f>
        <v>0</v>
      </c>
      <c r="D54" s="283"/>
      <c r="E54" s="283"/>
      <c r="F54" s="283"/>
      <c r="G54" s="283"/>
    </row>
    <row r="55" spans="1:7" s="267" customFormat="1">
      <c r="A55" s="269" t="s">
        <v>74</v>
      </c>
      <c r="B55" s="327">
        <v>3450</v>
      </c>
      <c r="C55" s="56">
        <f>'3.1.Рух грошових коштів'!G55+'3.1.Рух грошових коштів'!H55</f>
        <v>0</v>
      </c>
      <c r="D55" s="283"/>
      <c r="E55" s="283"/>
      <c r="F55" s="283"/>
      <c r="G55" s="283"/>
    </row>
    <row r="56" spans="1:7" s="267" customFormat="1">
      <c r="A56" s="269" t="s">
        <v>97</v>
      </c>
      <c r="B56" s="327">
        <v>3460</v>
      </c>
      <c r="C56" s="56">
        <f>'3.1.Рух грошових коштів'!G56+'3.1.Рух грошових коштів'!H56</f>
        <v>0</v>
      </c>
      <c r="D56" s="283"/>
      <c r="E56" s="283"/>
      <c r="F56" s="283"/>
      <c r="G56" s="283"/>
    </row>
    <row r="57" spans="1:7" ht="27.75" customHeight="1">
      <c r="A57" s="8" t="s">
        <v>92</v>
      </c>
      <c r="B57" s="230">
        <v>3470</v>
      </c>
      <c r="C57" s="56">
        <f>'3.1.Рух грошових коштів'!G57+'3.1.Рух грошових коштів'!H57</f>
        <v>0</v>
      </c>
      <c r="D57" s="56">
        <f>D58+D59</f>
        <v>0</v>
      </c>
      <c r="E57" s="56"/>
      <c r="F57" s="56"/>
      <c r="G57" s="56"/>
    </row>
    <row r="58" spans="1:7" hidden="1" outlineLevel="1">
      <c r="A58" s="8"/>
      <c r="B58" s="398"/>
      <c r="C58" s="56"/>
      <c r="D58" s="56"/>
      <c r="E58" s="56"/>
      <c r="F58" s="56"/>
      <c r="G58" s="56"/>
    </row>
    <row r="59" spans="1:7" hidden="1" outlineLevel="1">
      <c r="A59" s="8"/>
      <c r="B59" s="398"/>
      <c r="C59" s="56"/>
      <c r="D59" s="56"/>
      <c r="E59" s="56"/>
      <c r="F59" s="56"/>
      <c r="G59" s="56"/>
    </row>
    <row r="60" spans="1:7" ht="21.75" customHeight="1" collapsed="1">
      <c r="A60" s="8" t="s">
        <v>93</v>
      </c>
      <c r="B60" s="230">
        <v>3480</v>
      </c>
      <c r="C60" s="56">
        <f>'3.1.Рух грошових коштів'!G58+'3.1.Рух грошових коштів'!H58</f>
        <v>0</v>
      </c>
      <c r="D60" s="56"/>
      <c r="E60" s="56"/>
      <c r="F60" s="56"/>
      <c r="G60" s="56"/>
    </row>
    <row r="61" spans="1:7">
      <c r="A61" s="229" t="s">
        <v>189</v>
      </c>
      <c r="B61" s="317"/>
      <c r="C61" s="56"/>
      <c r="D61" s="56"/>
      <c r="E61" s="56"/>
      <c r="F61" s="56"/>
      <c r="G61" s="56"/>
    </row>
    <row r="62" spans="1:7" ht="56.25">
      <c r="A62" s="8" t="s">
        <v>202</v>
      </c>
      <c r="B62" s="317">
        <v>3490</v>
      </c>
      <c r="C62" s="56">
        <f>'3.1.Рух грошових коштів'!G60+'3.1.Рух грошових коштів'!H60</f>
        <v>0</v>
      </c>
      <c r="D62" s="240"/>
      <c r="E62" s="56"/>
      <c r="F62" s="56"/>
      <c r="G62" s="56"/>
    </row>
    <row r="63" spans="1:7" ht="37.5">
      <c r="A63" s="8" t="s">
        <v>203</v>
      </c>
      <c r="B63" s="317">
        <v>3500</v>
      </c>
      <c r="C63" s="56">
        <f>'3.1.Рух грошових коштів'!G61+'3.1.Рух грошових коштів'!H61</f>
        <v>0</v>
      </c>
      <c r="D63" s="56"/>
      <c r="E63" s="56"/>
      <c r="F63" s="56"/>
      <c r="G63" s="56"/>
    </row>
    <row r="64" spans="1:7" ht="56.25">
      <c r="A64" s="225" t="s">
        <v>73</v>
      </c>
      <c r="B64" s="274"/>
      <c r="C64" s="57">
        <f>C65+C66+C67</f>
        <v>0</v>
      </c>
      <c r="D64" s="57">
        <f>D65+D66+D67</f>
        <v>0</v>
      </c>
      <c r="E64" s="57"/>
      <c r="F64" s="57"/>
      <c r="G64" s="57"/>
    </row>
    <row r="65" spans="1:9" s="267" customFormat="1">
      <c r="A65" s="269" t="s">
        <v>69</v>
      </c>
      <c r="B65" s="327">
        <v>3510</v>
      </c>
      <c r="C65" s="56">
        <f>'3.1.Рух грошових коштів'!G63+'3.1.Рух грошових коштів'!H63</f>
        <v>0</v>
      </c>
      <c r="D65" s="283"/>
      <c r="E65" s="283"/>
      <c r="F65" s="283"/>
      <c r="G65" s="283"/>
    </row>
    <row r="66" spans="1:9" s="267" customFormat="1">
      <c r="A66" s="269" t="s">
        <v>74</v>
      </c>
      <c r="B66" s="327">
        <v>3520</v>
      </c>
      <c r="C66" s="56">
        <f>'3.1.Рух грошових коштів'!G64+'3.1.Рух грошових коштів'!H64</f>
        <v>0</v>
      </c>
      <c r="D66" s="283"/>
      <c r="E66" s="283"/>
      <c r="F66" s="283"/>
      <c r="G66" s="283"/>
    </row>
    <row r="67" spans="1:9" s="267" customFormat="1">
      <c r="A67" s="269" t="s">
        <v>97</v>
      </c>
      <c r="B67" s="327">
        <v>3530</v>
      </c>
      <c r="C67" s="56">
        <f>'3.1.Рух грошових коштів'!G65+'3.1.Рух грошових коштів'!H65</f>
        <v>0</v>
      </c>
      <c r="D67" s="283"/>
      <c r="E67" s="283"/>
      <c r="F67" s="283"/>
      <c r="G67" s="283"/>
    </row>
    <row r="68" spans="1:9" ht="56.25">
      <c r="A68" s="225" t="s">
        <v>71</v>
      </c>
      <c r="B68" s="274"/>
      <c r="C68" s="57">
        <f>C69+C70+C71</f>
        <v>0</v>
      </c>
      <c r="D68" s="57">
        <f>D69+D70+D71</f>
        <v>0</v>
      </c>
      <c r="E68" s="57"/>
      <c r="F68" s="57"/>
      <c r="G68" s="57"/>
    </row>
    <row r="69" spans="1:9" s="267" customFormat="1">
      <c r="A69" s="269" t="s">
        <v>69</v>
      </c>
      <c r="B69" s="327">
        <v>3540</v>
      </c>
      <c r="C69" s="283">
        <f>'3.1.Рух грошових коштів'!G67+'3.1.Рух грошових коштів'!H67</f>
        <v>0</v>
      </c>
      <c r="D69" s="283"/>
      <c r="E69" s="283"/>
      <c r="F69" s="283"/>
      <c r="G69" s="283"/>
    </row>
    <row r="70" spans="1:9" s="267" customFormat="1">
      <c r="A70" s="269" t="s">
        <v>74</v>
      </c>
      <c r="B70" s="327">
        <v>3550</v>
      </c>
      <c r="C70" s="283">
        <f>'3.1.Рух грошових коштів'!G68+'3.1.Рух грошових коштів'!H68</f>
        <v>0</v>
      </c>
      <c r="D70" s="283"/>
      <c r="E70" s="283"/>
      <c r="F70" s="283"/>
      <c r="G70" s="283"/>
    </row>
    <row r="71" spans="1:9" s="267" customFormat="1">
      <c r="A71" s="269" t="s">
        <v>97</v>
      </c>
      <c r="B71" s="327">
        <v>3560</v>
      </c>
      <c r="C71" s="283">
        <f>'3.1.Рух грошових коштів'!G69+'3.1.Рух грошових коштів'!H69</f>
        <v>0</v>
      </c>
      <c r="D71" s="283"/>
      <c r="E71" s="283"/>
      <c r="F71" s="283"/>
      <c r="G71" s="283"/>
    </row>
    <row r="72" spans="1:9">
      <c r="A72" s="8" t="s">
        <v>87</v>
      </c>
      <c r="B72" s="230">
        <v>3570</v>
      </c>
      <c r="C72" s="283">
        <f>'3.1.Рух грошових коштів'!G70+'3.1.Рух грошових коштів'!H70</f>
        <v>0</v>
      </c>
      <c r="D72" s="402"/>
      <c r="E72" s="56"/>
      <c r="F72" s="56"/>
      <c r="G72" s="56"/>
    </row>
    <row r="73" spans="1:9" ht="37.5">
      <c r="A73" s="229" t="s">
        <v>122</v>
      </c>
      <c r="B73" s="230">
        <v>3580</v>
      </c>
      <c r="C73" s="56">
        <f>'3.1.Рух грошових коштів'!G71+'3.1.Рух грошових коштів'!H71</f>
        <v>0</v>
      </c>
      <c r="D73" s="82">
        <f>SUM(D48:D57)+D60+SUM(D62:D72)</f>
        <v>5.7</v>
      </c>
      <c r="E73" s="56"/>
      <c r="F73" s="56"/>
      <c r="G73" s="56"/>
    </row>
    <row r="74" spans="1:9">
      <c r="A74" s="8" t="s">
        <v>16</v>
      </c>
      <c r="B74" s="230"/>
      <c r="C74" s="240">
        <f>C75+C77</f>
        <v>144.61475999999999</v>
      </c>
      <c r="D74" s="240">
        <f>D75+D77</f>
        <v>851</v>
      </c>
      <c r="E74" s="240">
        <f>D74-C74</f>
        <v>706.38524000000007</v>
      </c>
      <c r="F74" s="240">
        <f>D74/C74*100</f>
        <v>588.45998845484382</v>
      </c>
      <c r="G74" s="56"/>
    </row>
    <row r="75" spans="1:9">
      <c r="A75" s="319" t="s">
        <v>17</v>
      </c>
      <c r="B75" s="320">
        <v>3600</v>
      </c>
      <c r="C75" s="321">
        <f>'3.1.Рух грошових коштів'!H73</f>
        <v>68.2</v>
      </c>
      <c r="D75" s="321">
        <v>448</v>
      </c>
      <c r="E75" s="321">
        <f>D75-C75</f>
        <v>379.8</v>
      </c>
      <c r="F75" s="321">
        <f>D75/C75*100</f>
        <v>656.89149560117301</v>
      </c>
      <c r="G75" s="281"/>
      <c r="H75" s="409"/>
      <c r="I75" s="409"/>
    </row>
    <row r="76" spans="1:9" ht="37.5">
      <c r="A76" s="312" t="s">
        <v>127</v>
      </c>
      <c r="B76" s="230">
        <v>3610</v>
      </c>
      <c r="C76" s="82">
        <f>'3.1.Рух грошових коштів'!G74+'3.1.Рух грошових коштів'!H74</f>
        <v>0</v>
      </c>
      <c r="D76" s="82">
        <v>0</v>
      </c>
      <c r="E76" s="82"/>
      <c r="F76" s="82"/>
      <c r="G76" s="57"/>
    </row>
    <row r="77" spans="1:9">
      <c r="A77" s="319" t="s">
        <v>38</v>
      </c>
      <c r="B77" s="320">
        <v>3620</v>
      </c>
      <c r="C77" s="321">
        <f>'3.1.Рух грошових коштів'!H75</f>
        <v>76.414759999999987</v>
      </c>
      <c r="D77" s="321">
        <v>403</v>
      </c>
      <c r="E77" s="321">
        <f>D77-C77</f>
        <v>326.58524</v>
      </c>
      <c r="F77" s="321">
        <f>D77/C77*100</f>
        <v>527.3850235216338</v>
      </c>
      <c r="G77" s="281"/>
      <c r="H77" s="321"/>
      <c r="I77" s="409"/>
    </row>
    <row r="78" spans="1:9">
      <c r="A78" s="225" t="s">
        <v>18</v>
      </c>
      <c r="B78" s="230">
        <v>3630</v>
      </c>
      <c r="C78" s="82">
        <f>'1.Фінансовий результат'!C96</f>
        <v>16.42952000000016</v>
      </c>
      <c r="D78" s="82">
        <f>D8+D28+D45+D73</f>
        <v>46.000000000002444</v>
      </c>
      <c r="E78" s="82">
        <f>D78-C78</f>
        <v>29.570480000002284</v>
      </c>
      <c r="F78" s="82">
        <f>D78/C78*100</f>
        <v>279.98383397690253</v>
      </c>
      <c r="G78" s="57"/>
    </row>
    <row r="79" spans="1:9" ht="26.25" customHeight="1">
      <c r="B79" s="322"/>
      <c r="C79" s="323"/>
      <c r="D79" s="323"/>
      <c r="E79" s="323"/>
      <c r="F79" s="324"/>
      <c r="G79" s="324"/>
    </row>
    <row r="80" spans="1:9">
      <c r="A80" s="298" t="s">
        <v>417</v>
      </c>
      <c r="B80" s="315"/>
      <c r="C80" s="427" t="s">
        <v>443</v>
      </c>
      <c r="D80" s="314"/>
      <c r="E80" s="561" t="s">
        <v>326</v>
      </c>
      <c r="F80" s="561"/>
      <c r="G80" s="561"/>
    </row>
    <row r="81" spans="1:7">
      <c r="A81" s="296" t="s">
        <v>442</v>
      </c>
      <c r="B81" s="21"/>
      <c r="C81" s="237" t="s">
        <v>59</v>
      </c>
      <c r="D81" s="23"/>
      <c r="E81" s="562" t="s">
        <v>78</v>
      </c>
      <c r="F81" s="562"/>
      <c r="G81" s="562"/>
    </row>
    <row r="84" spans="1:7">
      <c r="D84" s="27">
        <f>D8+D28</f>
        <v>40.300000000002441</v>
      </c>
    </row>
  </sheetData>
  <mergeCells count="9">
    <mergeCell ref="A46:G46"/>
    <mergeCell ref="E80:G80"/>
    <mergeCell ref="E81:G81"/>
    <mergeCell ref="A1:G1"/>
    <mergeCell ref="A4:A5"/>
    <mergeCell ref="B4:B5"/>
    <mergeCell ref="C4:G4"/>
    <mergeCell ref="A7:G7"/>
    <mergeCell ref="A29:G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1" manualBreakCount="1">
    <brk id="38" max="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2:R111"/>
  <sheetViews>
    <sheetView view="pageBreakPreview" topLeftCell="A52" zoomScale="89" zoomScaleNormal="75" zoomScaleSheetLayoutView="89" workbookViewId="0">
      <selection activeCell="H76" sqref="G76:H76"/>
    </sheetView>
  </sheetViews>
  <sheetFormatPr defaultRowHeight="18.75" outlineLevelRow="1" outlineLevelCol="1"/>
  <cols>
    <col min="1" max="1" width="35" style="2" customWidth="1"/>
    <col min="2" max="2" width="10.140625" style="2" customWidth="1"/>
    <col min="3" max="3" width="11.5703125" style="2" hidden="1" customWidth="1" outlineLevel="1"/>
    <col min="4" max="4" width="12.140625" style="2" hidden="1" customWidth="1" outlineLevel="1"/>
    <col min="5" max="5" width="11" style="2" hidden="1" customWidth="1" outlineLevel="1"/>
    <col min="6" max="6" width="11" style="2" customWidth="1" collapsed="1"/>
    <col min="7" max="7" width="10.42578125" style="2" customWidth="1"/>
    <col min="8" max="8" width="9.5703125" style="2" customWidth="1"/>
    <col min="9" max="9" width="9.42578125" style="2" customWidth="1"/>
    <col min="10" max="10" width="11.85546875" style="2" customWidth="1"/>
    <col min="11" max="16384" width="9.140625" style="2"/>
  </cols>
  <sheetData>
    <row r="2" spans="1:10">
      <c r="A2" s="502" t="s">
        <v>114</v>
      </c>
      <c r="B2" s="502"/>
      <c r="C2" s="502"/>
      <c r="D2" s="502"/>
      <c r="E2" s="502"/>
      <c r="F2" s="502"/>
      <c r="G2" s="502"/>
      <c r="H2" s="502"/>
      <c r="I2" s="502"/>
      <c r="J2" s="502"/>
    </row>
    <row r="3" spans="1:10" outlineLevel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48" customHeight="1">
      <c r="A4" s="568" t="s">
        <v>183</v>
      </c>
      <c r="B4" s="570" t="s">
        <v>0</v>
      </c>
      <c r="C4" s="570" t="s">
        <v>380</v>
      </c>
      <c r="D4" s="570" t="s">
        <v>382</v>
      </c>
      <c r="E4" s="570" t="s">
        <v>379</v>
      </c>
      <c r="F4" s="571" t="s">
        <v>383</v>
      </c>
      <c r="G4" s="571" t="s">
        <v>267</v>
      </c>
      <c r="H4" s="571"/>
      <c r="I4" s="571"/>
      <c r="J4" s="571"/>
    </row>
    <row r="5" spans="1:10" ht="24.75" customHeight="1">
      <c r="A5" s="569"/>
      <c r="B5" s="570"/>
      <c r="C5" s="570"/>
      <c r="D5" s="570"/>
      <c r="E5" s="570"/>
      <c r="F5" s="571"/>
      <c r="G5" s="316" t="s">
        <v>141</v>
      </c>
      <c r="H5" s="316" t="s">
        <v>142</v>
      </c>
      <c r="I5" s="316" t="s">
        <v>143</v>
      </c>
      <c r="J5" s="316" t="s">
        <v>55</v>
      </c>
    </row>
    <row r="6" spans="1:10" ht="18" customHeight="1">
      <c r="A6" s="6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</row>
    <row r="7" spans="1:10" s="43" customFormat="1" ht="30.75" customHeight="1">
      <c r="A7" s="572" t="s">
        <v>118</v>
      </c>
      <c r="B7" s="572"/>
      <c r="C7" s="572"/>
      <c r="D7" s="572"/>
      <c r="E7" s="572"/>
      <c r="F7" s="572"/>
      <c r="G7" s="572"/>
      <c r="H7" s="572"/>
      <c r="I7" s="572"/>
      <c r="J7" s="572"/>
    </row>
    <row r="8" spans="1:10" ht="35.25" customHeight="1">
      <c r="A8" s="109" t="s">
        <v>130</v>
      </c>
      <c r="B8" s="110">
        <v>1200</v>
      </c>
      <c r="C8" s="94">
        <f>'1.1.Фінансовий результат'!C93</f>
        <v>32.599999999999952</v>
      </c>
      <c r="D8" s="94">
        <v>27.9</v>
      </c>
      <c r="E8" s="94">
        <v>38.1</v>
      </c>
      <c r="F8" s="94">
        <f>'1.1.Фінансовий результат'!F88</f>
        <v>39.99000000000153</v>
      </c>
      <c r="G8" s="94">
        <f>'1.1.Фінансовий результат'!G88</f>
        <v>10.01800000000021</v>
      </c>
      <c r="H8" s="94">
        <f>'1.1.Фінансовий результат'!H88</f>
        <v>10.017999999999983</v>
      </c>
      <c r="I8" s="94">
        <f>'1.1.Фінансовий результат'!I88</f>
        <v>10.031999999999908</v>
      </c>
      <c r="J8" s="94">
        <f>'1.1.Фінансовий результат'!J88</f>
        <v>9.9759999999999529</v>
      </c>
    </row>
    <row r="9" spans="1:10" ht="20.100000000000001" customHeight="1">
      <c r="A9" s="109" t="s">
        <v>131</v>
      </c>
      <c r="B9" s="111"/>
      <c r="C9" s="58"/>
      <c r="D9" s="58"/>
      <c r="E9" s="58"/>
      <c r="F9" s="58"/>
      <c r="G9" s="58"/>
      <c r="H9" s="58"/>
      <c r="I9" s="58"/>
      <c r="J9" s="58"/>
    </row>
    <row r="10" spans="1:10" ht="20.100000000000001" customHeight="1">
      <c r="A10" s="109" t="s">
        <v>133</v>
      </c>
      <c r="B10" s="112">
        <v>3000</v>
      </c>
      <c r="C10" s="94"/>
      <c r="D10" s="94"/>
      <c r="E10" s="94"/>
      <c r="F10" s="94"/>
      <c r="G10" s="94"/>
      <c r="H10" s="94"/>
      <c r="I10" s="94"/>
      <c r="J10" s="94"/>
    </row>
    <row r="11" spans="1:10" ht="20.100000000000001" customHeight="1">
      <c r="A11" s="109" t="s">
        <v>134</v>
      </c>
      <c r="B11" s="112">
        <v>3010</v>
      </c>
      <c r="C11" s="94"/>
      <c r="D11" s="94"/>
      <c r="E11" s="94"/>
      <c r="F11" s="94"/>
      <c r="G11" s="94"/>
      <c r="H11" s="94"/>
      <c r="I11" s="94"/>
      <c r="J11" s="94"/>
    </row>
    <row r="12" spans="1:10" ht="20.100000000000001" customHeight="1">
      <c r="A12" s="109" t="s">
        <v>135</v>
      </c>
      <c r="B12" s="112">
        <v>3020</v>
      </c>
      <c r="C12" s="94"/>
      <c r="D12" s="94"/>
      <c r="E12" s="94"/>
      <c r="F12" s="94"/>
      <c r="G12" s="94"/>
      <c r="H12" s="94"/>
      <c r="I12" s="94"/>
      <c r="J12" s="94"/>
    </row>
    <row r="13" spans="1:10" ht="51.75" customHeight="1">
      <c r="A13" s="109" t="s">
        <v>136</v>
      </c>
      <c r="B13" s="112">
        <v>3030</v>
      </c>
      <c r="C13" s="94"/>
      <c r="D13" s="94"/>
      <c r="E13" s="94"/>
      <c r="F13" s="94"/>
      <c r="G13" s="94"/>
      <c r="H13" s="94"/>
      <c r="I13" s="94"/>
      <c r="J13" s="94"/>
    </row>
    <row r="14" spans="1:10" ht="48" customHeight="1">
      <c r="A14" s="108" t="s">
        <v>174</v>
      </c>
      <c r="B14" s="112">
        <v>3040</v>
      </c>
      <c r="C14" s="94"/>
      <c r="D14" s="94"/>
      <c r="E14" s="94"/>
      <c r="F14" s="94"/>
      <c r="G14" s="94"/>
      <c r="H14" s="94"/>
      <c r="I14" s="94"/>
      <c r="J14" s="94"/>
    </row>
    <row r="15" spans="1:10" ht="34.5" customHeight="1">
      <c r="A15" s="109" t="s">
        <v>137</v>
      </c>
      <c r="B15" s="112">
        <v>3050</v>
      </c>
      <c r="C15" s="94"/>
      <c r="D15" s="94"/>
      <c r="E15" s="94"/>
      <c r="F15" s="94"/>
      <c r="G15" s="94"/>
      <c r="H15" s="94"/>
      <c r="I15" s="94"/>
      <c r="J15" s="94"/>
    </row>
    <row r="16" spans="1:10" ht="37.5" customHeight="1">
      <c r="A16" s="109" t="s">
        <v>138</v>
      </c>
      <c r="B16" s="112">
        <v>3060</v>
      </c>
      <c r="C16" s="94"/>
      <c r="D16" s="94"/>
      <c r="E16" s="94"/>
      <c r="F16" s="94"/>
      <c r="G16" s="94"/>
      <c r="H16" s="94"/>
      <c r="I16" s="94"/>
      <c r="J16" s="94"/>
    </row>
    <row r="17" spans="1:10" ht="32.25" customHeight="1">
      <c r="A17" s="108" t="s">
        <v>310</v>
      </c>
      <c r="B17" s="112">
        <v>3070</v>
      </c>
      <c r="C17" s="122">
        <v>12014</v>
      </c>
      <c r="D17" s="122">
        <f t="shared" ref="D17:J17" si="0">D18</f>
        <v>12962.1</v>
      </c>
      <c r="E17" s="122">
        <f>'1.1.Фінансовий результат'!E13</f>
        <v>13410.4</v>
      </c>
      <c r="F17" s="122">
        <f t="shared" si="0"/>
        <v>15217</v>
      </c>
      <c r="G17" s="122">
        <f t="shared" si="0"/>
        <v>3643.3</v>
      </c>
      <c r="H17" s="122">
        <f t="shared" si="0"/>
        <v>3852</v>
      </c>
      <c r="I17" s="122">
        <f t="shared" si="0"/>
        <v>3863</v>
      </c>
      <c r="J17" s="122">
        <f t="shared" si="0"/>
        <v>3858.7</v>
      </c>
    </row>
    <row r="18" spans="1:10" ht="23.25" customHeight="1">
      <c r="A18" s="113" t="s">
        <v>304</v>
      </c>
      <c r="B18" s="112" t="s">
        <v>312</v>
      </c>
      <c r="C18" s="94">
        <v>12014</v>
      </c>
      <c r="D18" s="94">
        <f t="shared" ref="D18:J18" si="1">D19</f>
        <v>12962.1</v>
      </c>
      <c r="E18" s="94">
        <f t="shared" si="1"/>
        <v>13410.4</v>
      </c>
      <c r="F18" s="94">
        <f t="shared" si="1"/>
        <v>15217</v>
      </c>
      <c r="G18" s="94">
        <f t="shared" si="1"/>
        <v>3643.3</v>
      </c>
      <c r="H18" s="94">
        <f t="shared" si="1"/>
        <v>3852</v>
      </c>
      <c r="I18" s="94">
        <f t="shared" si="1"/>
        <v>3863</v>
      </c>
      <c r="J18" s="94">
        <f t="shared" si="1"/>
        <v>3858.7</v>
      </c>
    </row>
    <row r="19" spans="1:10" ht="36.75" customHeight="1">
      <c r="A19" s="143" t="s">
        <v>305</v>
      </c>
      <c r="B19" s="112" t="s">
        <v>315</v>
      </c>
      <c r="C19" s="94">
        <v>12014</v>
      </c>
      <c r="D19" s="94">
        <f>'1.1.Фінансовий результат'!D13</f>
        <v>12962.1</v>
      </c>
      <c r="E19" s="94">
        <f>'1.1.Фінансовий результат'!E13</f>
        <v>13410.4</v>
      </c>
      <c r="F19" s="94">
        <f>'1.1.Фінансовий результат'!F13</f>
        <v>15217</v>
      </c>
      <c r="G19" s="94">
        <f>'1.1.Фінансовий результат'!G13</f>
        <v>3643.3</v>
      </c>
      <c r="H19" s="94">
        <f>'1.1.Фінансовий результат'!H13</f>
        <v>3852</v>
      </c>
      <c r="I19" s="94">
        <f>'1.1.Фінансовий результат'!I13</f>
        <v>3863</v>
      </c>
      <c r="J19" s="94">
        <f>'1.1.Фінансовий результат'!J13</f>
        <v>3858.7</v>
      </c>
    </row>
    <row r="20" spans="1:10" ht="19.5" customHeight="1">
      <c r="A20" s="113" t="s">
        <v>306</v>
      </c>
      <c r="B20" s="112" t="s">
        <v>313</v>
      </c>
      <c r="C20" s="94">
        <v>11981.4</v>
      </c>
      <c r="D20" s="94">
        <v>12934.2</v>
      </c>
      <c r="E20" s="94">
        <f>'1.1.Фінансовий результат'!E108</f>
        <v>13372.299999999997</v>
      </c>
      <c r="F20" s="94">
        <f>'1.1.Фінансовий результат'!F98-F28-F27</f>
        <v>15176.955999999998</v>
      </c>
      <c r="G20" s="94">
        <f>'1.1.Фінансовий результат'!G98-G28-G27</f>
        <v>3633.2819999999997</v>
      </c>
      <c r="H20" s="94">
        <f>'1.1.Фінансовий результат'!H98-H28-H27</f>
        <v>3841.982</v>
      </c>
      <c r="I20" s="94">
        <f>'1.1.Фінансовий результат'!I98-I28-I27</f>
        <v>3852.9679999999998</v>
      </c>
      <c r="J20" s="94">
        <f>'1.1.Фінансовий результат'!J98-J28-J27</f>
        <v>3848.7239999999997</v>
      </c>
    </row>
    <row r="21" spans="1:10" ht="23.25" customHeight="1">
      <c r="A21" s="143" t="s">
        <v>307</v>
      </c>
      <c r="B21" s="112" t="s">
        <v>316</v>
      </c>
      <c r="C21" s="94">
        <v>4143.5</v>
      </c>
      <c r="D21" s="94">
        <f t="shared" ref="D21:J21" si="2">D20-D22-D23-D24-D25</f>
        <v>3293.8000000000006</v>
      </c>
      <c r="E21" s="94">
        <v>3383.3</v>
      </c>
      <c r="F21" s="94">
        <f t="shared" si="2"/>
        <v>4434.3591999999999</v>
      </c>
      <c r="G21" s="94">
        <f t="shared" si="2"/>
        <v>1025.6354999999996</v>
      </c>
      <c r="H21" s="94">
        <f t="shared" si="2"/>
        <v>1213.1854999999998</v>
      </c>
      <c r="I21" s="94">
        <f t="shared" si="2"/>
        <v>1124.4420000000002</v>
      </c>
      <c r="J21" s="94">
        <f t="shared" si="2"/>
        <v>1071.1501999999998</v>
      </c>
    </row>
    <row r="22" spans="1:10" ht="21" customHeight="1">
      <c r="A22" s="143" t="s">
        <v>308</v>
      </c>
      <c r="B22" s="112" t="s">
        <v>317</v>
      </c>
      <c r="C22" s="94">
        <v>5302</v>
      </c>
      <c r="D22" s="144">
        <f>'1.1.Фінансовий результат'!D104</f>
        <v>6675.4</v>
      </c>
      <c r="E22" s="144">
        <f>'1.1.Фінансовий результат'!E104</f>
        <v>6913</v>
      </c>
      <c r="F22" s="144">
        <f>'1.1.Фінансовий результат'!F104</f>
        <v>7436.7999999999993</v>
      </c>
      <c r="G22" s="144">
        <f>'1.1.Фінансовий результат'!G104</f>
        <v>1811.1000000000001</v>
      </c>
      <c r="H22" s="144">
        <f>'1.1.Фінансовий результат'!H104</f>
        <v>1811.1000000000001</v>
      </c>
      <c r="I22" s="144">
        <f>'1.1.Фінансовий результат'!I104</f>
        <v>1892.3999999999999</v>
      </c>
      <c r="J22" s="144">
        <f>'1.1.Фінансовий результат'!J104</f>
        <v>1922.2</v>
      </c>
    </row>
    <row r="23" spans="1:10" ht="19.5" customHeight="1">
      <c r="A23" s="143" t="s">
        <v>3</v>
      </c>
      <c r="B23" s="112" t="s">
        <v>318</v>
      </c>
      <c r="C23" s="94">
        <v>1145</v>
      </c>
      <c r="D23" s="94">
        <f>'1.1.Фінансовий результат'!D105</f>
        <v>1468.6</v>
      </c>
      <c r="E23" s="94">
        <f>'1.1.Фінансовий результат'!E105</f>
        <v>1520.8</v>
      </c>
      <c r="F23" s="94">
        <f>'1.1.Фінансовий результат'!F105</f>
        <v>1636.1099999999997</v>
      </c>
      <c r="G23" s="94">
        <f>'1.1.Фінансовий результат'!G105</f>
        <v>398.38200000000001</v>
      </c>
      <c r="H23" s="94">
        <f>'1.1.Фінансовий результат'!H105</f>
        <v>398.38200000000001</v>
      </c>
      <c r="I23" s="94">
        <f>'1.1.Фінансовий результат'!I105</f>
        <v>416.36799999999999</v>
      </c>
      <c r="J23" s="94">
        <f>'1.1.Фінансовий результат'!J105</f>
        <v>422.92399999999998</v>
      </c>
    </row>
    <row r="24" spans="1:10" ht="23.25" customHeight="1">
      <c r="A24" s="143" t="s">
        <v>309</v>
      </c>
      <c r="B24" s="112" t="s">
        <v>319</v>
      </c>
      <c r="C24" s="94">
        <v>1325.2</v>
      </c>
      <c r="D24" s="94">
        <f>'2.1Розрахунки з бюджетом'!D22</f>
        <v>1416</v>
      </c>
      <c r="E24" s="94">
        <f>'2.1Розрахунки з бюджетом'!E22</f>
        <v>1473.9</v>
      </c>
      <c r="F24" s="94">
        <f>'2.1Розрахунки з бюджетом'!F22</f>
        <v>1573.9759999999997</v>
      </c>
      <c r="G24" s="94">
        <f>'2.1Розрахунки з бюджетом'!G22</f>
        <v>384.06450000000001</v>
      </c>
      <c r="H24" s="94">
        <f>'2.1Розрахунки з бюджетом'!H22</f>
        <v>384.06450000000001</v>
      </c>
      <c r="I24" s="94">
        <f>'2.1Розрахунки з бюджетом'!I22</f>
        <v>400.01799999999992</v>
      </c>
      <c r="J24" s="94">
        <f>'2.1Розрахунки з бюджетом'!J22</f>
        <v>405.82899999999995</v>
      </c>
    </row>
    <row r="25" spans="1:10" ht="37.5" customHeight="1">
      <c r="A25" s="143" t="s">
        <v>311</v>
      </c>
      <c r="B25" s="112" t="s">
        <v>320</v>
      </c>
      <c r="C25" s="94">
        <v>59.7</v>
      </c>
      <c r="D25" s="94">
        <f>'2.1Розрахунки з бюджетом'!D20</f>
        <v>80.400000000000006</v>
      </c>
      <c r="E25" s="94">
        <f>'1.1.Фінансовий результат'!E11*0.282</f>
        <v>81.215999999999994</v>
      </c>
      <c r="F25" s="94">
        <f>'2.1Розрахунки з бюджетом'!F20</f>
        <v>95.710799999999978</v>
      </c>
      <c r="G25" s="94">
        <f>'2.1Розрахунки з бюджетом'!G20</f>
        <v>14.099999999999998</v>
      </c>
      <c r="H25" s="94">
        <f>'2.1Розрахунки з бюджетом'!H20</f>
        <v>35.25</v>
      </c>
      <c r="I25" s="94">
        <f>'2.1Розрахунки з бюджетом'!I20</f>
        <v>19.739999999999998</v>
      </c>
      <c r="J25" s="94">
        <f>'2.1Розрахунки з бюджетом'!J20</f>
        <v>26.620799999999999</v>
      </c>
    </row>
    <row r="26" spans="1:10" ht="26.25" customHeight="1">
      <c r="A26" s="143" t="s">
        <v>314</v>
      </c>
      <c r="B26" s="112" t="s">
        <v>321</v>
      </c>
      <c r="C26" s="94"/>
      <c r="D26" s="94"/>
      <c r="E26" s="94"/>
      <c r="F26" s="94"/>
      <c r="G26" s="94"/>
      <c r="H26" s="94"/>
      <c r="I26" s="94"/>
      <c r="J26" s="94"/>
    </row>
    <row r="27" spans="1:10" ht="20.100000000000001" customHeight="1">
      <c r="A27" s="109" t="s">
        <v>132</v>
      </c>
      <c r="B27" s="112">
        <v>3080</v>
      </c>
      <c r="C27" s="94">
        <v>6</v>
      </c>
      <c r="D27" s="94">
        <f>'2.1Розрахунки з бюджетом'!D19</f>
        <v>5</v>
      </c>
      <c r="E27" s="94">
        <f>'2.1Розрахунки з бюджетом'!E19</f>
        <v>6.8579999999999997</v>
      </c>
      <c r="F27" s="94">
        <f>'1.1.Фінансовий результат'!F94</f>
        <v>7.2079200000000094</v>
      </c>
      <c r="G27" s="94">
        <f>'1.1.Фінансовий результат'!G94</f>
        <v>1.8032400000000377</v>
      </c>
      <c r="H27" s="94">
        <f>'1.1.Фінансовий результат'!H94</f>
        <v>1.8032399999999968</v>
      </c>
      <c r="I27" s="94">
        <f>'1.1.Фінансовий результат'!I94</f>
        <v>1.8057599999999834</v>
      </c>
      <c r="J27" s="94">
        <f>'1.1.Фінансовий результат'!J94</f>
        <v>1.7956799999999915</v>
      </c>
    </row>
    <row r="28" spans="1:10" ht="20.100000000000001" customHeight="1">
      <c r="A28" s="113" t="s">
        <v>117</v>
      </c>
      <c r="B28" s="112">
        <v>3090</v>
      </c>
      <c r="C28" s="122">
        <v>26.7</v>
      </c>
      <c r="D28" s="122">
        <f>D19-D20-D27</f>
        <v>22.899999999999636</v>
      </c>
      <c r="E28" s="122">
        <f>'1.1.Фінансовий результат'!E96</f>
        <v>31.242000000000001</v>
      </c>
      <c r="F28" s="122">
        <f>'1.1.Фінансовий результат'!F96</f>
        <v>32.836080000000045</v>
      </c>
      <c r="G28" s="122">
        <f>'1.1.Фінансовий результат'!G96</f>
        <v>8.2147600000001724</v>
      </c>
      <c r="H28" s="122">
        <f>'1.1.Фінансовий результат'!H96</f>
        <v>8.2147599999999859</v>
      </c>
      <c r="I28" s="122">
        <f>'1.1.Фінансовий результат'!I96</f>
        <v>8.2262399999999243</v>
      </c>
      <c r="J28" s="122">
        <f>'1.1.Фінансовий результат'!J96</f>
        <v>8.180319999999961</v>
      </c>
    </row>
    <row r="29" spans="1:10" ht="33.75" customHeight="1">
      <c r="A29" s="572" t="s">
        <v>119</v>
      </c>
      <c r="B29" s="572"/>
      <c r="C29" s="572"/>
      <c r="D29" s="572"/>
      <c r="E29" s="572"/>
      <c r="F29" s="572"/>
      <c r="G29" s="572"/>
      <c r="H29" s="572"/>
      <c r="I29" s="572"/>
      <c r="J29" s="572"/>
    </row>
    <row r="30" spans="1:10" ht="21.75" customHeight="1">
      <c r="A30" s="108" t="s">
        <v>187</v>
      </c>
      <c r="B30" s="110"/>
      <c r="C30" s="94"/>
      <c r="D30" s="94"/>
      <c r="E30" s="94"/>
      <c r="F30" s="94"/>
      <c r="G30" s="94"/>
      <c r="H30" s="94"/>
      <c r="I30" s="94"/>
      <c r="J30" s="94"/>
    </row>
    <row r="31" spans="1:10" ht="33.75" customHeight="1">
      <c r="A31" s="67" t="s">
        <v>14</v>
      </c>
      <c r="B31" s="110">
        <v>3200</v>
      </c>
      <c r="C31" s="96"/>
      <c r="D31" s="96"/>
      <c r="E31" s="96"/>
      <c r="F31" s="96"/>
      <c r="G31" s="96"/>
      <c r="H31" s="96"/>
      <c r="I31" s="96"/>
      <c r="J31" s="96"/>
    </row>
    <row r="32" spans="1:10" ht="39" customHeight="1">
      <c r="A32" s="67" t="s">
        <v>15</v>
      </c>
      <c r="B32" s="110">
        <v>3210</v>
      </c>
      <c r="C32" s="96"/>
      <c r="D32" s="96"/>
      <c r="E32" s="96"/>
      <c r="F32" s="138"/>
      <c r="G32" s="96"/>
      <c r="H32" s="96"/>
      <c r="I32" s="96"/>
      <c r="J32" s="96"/>
    </row>
    <row r="33" spans="1:18" ht="32.25" customHeight="1">
      <c r="A33" s="67" t="s">
        <v>36</v>
      </c>
      <c r="B33" s="110">
        <v>3220</v>
      </c>
      <c r="C33" s="96"/>
      <c r="D33" s="96"/>
      <c r="E33" s="96"/>
      <c r="F33" s="96"/>
      <c r="G33" s="96"/>
      <c r="H33" s="96"/>
      <c r="I33" s="96"/>
      <c r="J33" s="96"/>
    </row>
    <row r="34" spans="1:18" ht="20.100000000000001" customHeight="1">
      <c r="A34" s="109"/>
      <c r="B34" s="110"/>
      <c r="C34" s="94"/>
      <c r="D34" s="94"/>
      <c r="E34" s="94"/>
      <c r="F34" s="94"/>
      <c r="G34" s="94"/>
      <c r="H34" s="94"/>
      <c r="I34" s="94"/>
      <c r="J34" s="94"/>
    </row>
    <row r="35" spans="1:18" ht="20.100000000000001" customHeight="1">
      <c r="A35" s="67" t="s">
        <v>123</v>
      </c>
      <c r="B35" s="110">
        <v>3230</v>
      </c>
      <c r="C35" s="96"/>
      <c r="D35" s="96"/>
      <c r="E35" s="96"/>
      <c r="F35" s="96"/>
      <c r="G35" s="96"/>
      <c r="H35" s="96"/>
      <c r="I35" s="96"/>
      <c r="J35" s="96"/>
    </row>
    <row r="36" spans="1:18" ht="20.100000000000001" customHeight="1">
      <c r="A36" s="67" t="s">
        <v>124</v>
      </c>
      <c r="B36" s="110">
        <v>3240</v>
      </c>
      <c r="C36" s="96"/>
      <c r="D36" s="96"/>
      <c r="E36" s="96"/>
      <c r="F36" s="96"/>
      <c r="G36" s="96"/>
      <c r="H36" s="96"/>
      <c r="I36" s="96"/>
      <c r="J36" s="96"/>
    </row>
    <row r="37" spans="1:18" ht="20.100000000000001" customHeight="1">
      <c r="A37" s="109" t="s">
        <v>125</v>
      </c>
      <c r="B37" s="110">
        <v>3250</v>
      </c>
      <c r="C37" s="96"/>
      <c r="D37" s="96"/>
      <c r="E37" s="96"/>
      <c r="F37" s="96"/>
      <c r="G37" s="96"/>
      <c r="H37" s="96"/>
      <c r="I37" s="96"/>
      <c r="J37" s="96"/>
    </row>
    <row r="38" spans="1:18" ht="20.100000000000001" customHeight="1">
      <c r="A38" s="67" t="s">
        <v>93</v>
      </c>
      <c r="B38" s="110">
        <v>3260</v>
      </c>
      <c r="C38" s="96"/>
      <c r="D38" s="96"/>
      <c r="E38" s="96"/>
      <c r="F38" s="96"/>
      <c r="G38" s="96"/>
      <c r="H38" s="96"/>
      <c r="I38" s="96"/>
      <c r="J38" s="96"/>
    </row>
    <row r="39" spans="1:18" ht="20.100000000000001" customHeight="1">
      <c r="A39" s="108" t="s">
        <v>189</v>
      </c>
      <c r="B39" s="110"/>
      <c r="C39" s="94"/>
      <c r="D39" s="94"/>
      <c r="E39" s="94"/>
      <c r="F39" s="94"/>
      <c r="G39" s="94"/>
      <c r="H39" s="94"/>
      <c r="I39" s="94"/>
      <c r="J39" s="94"/>
    </row>
    <row r="40" spans="1:18" ht="33.75" customHeight="1">
      <c r="A40" s="67" t="s">
        <v>94</v>
      </c>
      <c r="B40" s="110">
        <v>3270</v>
      </c>
      <c r="C40" s="96"/>
      <c r="D40" s="96"/>
      <c r="E40" s="96"/>
      <c r="F40" s="96"/>
      <c r="G40" s="96"/>
      <c r="H40" s="96"/>
      <c r="I40" s="96"/>
      <c r="J40" s="96"/>
    </row>
    <row r="41" spans="1:18" ht="36" customHeight="1">
      <c r="A41" s="67" t="s">
        <v>95</v>
      </c>
      <c r="B41" s="110">
        <v>3280</v>
      </c>
      <c r="C41" s="96"/>
      <c r="D41" s="96"/>
      <c r="E41" s="96"/>
      <c r="F41" s="96"/>
      <c r="G41" s="96"/>
      <c r="H41" s="96"/>
      <c r="I41" s="96"/>
      <c r="J41" s="96"/>
    </row>
    <row r="42" spans="1:18" ht="31.5" customHeight="1">
      <c r="A42" s="67" t="s">
        <v>96</v>
      </c>
      <c r="B42" s="110">
        <v>3290</v>
      </c>
      <c r="C42" s="96"/>
      <c r="D42" s="96"/>
      <c r="E42" s="96"/>
      <c r="F42" s="96"/>
      <c r="G42" s="96"/>
      <c r="H42" s="96"/>
      <c r="I42" s="96"/>
      <c r="J42" s="96"/>
    </row>
    <row r="43" spans="1:18" ht="20.100000000000001" customHeight="1">
      <c r="A43" s="67" t="s">
        <v>37</v>
      </c>
      <c r="B43" s="110">
        <v>3300</v>
      </c>
      <c r="C43" s="114"/>
      <c r="D43" s="114"/>
      <c r="E43" s="114"/>
      <c r="F43" s="96"/>
      <c r="G43" s="96"/>
      <c r="H43" s="96"/>
      <c r="I43" s="96"/>
      <c r="J43" s="96"/>
      <c r="R43" s="26"/>
    </row>
    <row r="44" spans="1:18" ht="20.100000000000001" customHeight="1">
      <c r="A44" s="67" t="s">
        <v>87</v>
      </c>
      <c r="B44" s="110">
        <v>3310</v>
      </c>
      <c r="C44" s="96"/>
      <c r="D44" s="96"/>
      <c r="E44" s="96"/>
      <c r="F44" s="96"/>
      <c r="G44" s="96"/>
      <c r="H44" s="96"/>
      <c r="I44" s="96"/>
      <c r="J44" s="96"/>
    </row>
    <row r="45" spans="1:18" ht="38.25" customHeight="1">
      <c r="A45" s="108" t="s">
        <v>120</v>
      </c>
      <c r="B45" s="110">
        <v>3320</v>
      </c>
      <c r="C45" s="96"/>
      <c r="D45" s="96"/>
      <c r="E45" s="96"/>
      <c r="F45" s="96"/>
      <c r="G45" s="96"/>
      <c r="H45" s="96"/>
      <c r="I45" s="96"/>
      <c r="J45" s="96"/>
    </row>
    <row r="46" spans="1:18" ht="36.75" customHeight="1">
      <c r="A46" s="572" t="s">
        <v>121</v>
      </c>
      <c r="B46" s="572"/>
      <c r="C46" s="572"/>
      <c r="D46" s="572"/>
      <c r="E46" s="572"/>
      <c r="F46" s="572"/>
      <c r="G46" s="572"/>
      <c r="H46" s="572"/>
      <c r="I46" s="572"/>
      <c r="J46" s="572"/>
    </row>
    <row r="47" spans="1:18" ht="20.100000000000001" customHeight="1">
      <c r="A47" s="108" t="s">
        <v>188</v>
      </c>
      <c r="B47" s="110"/>
      <c r="C47" s="58"/>
      <c r="D47" s="58"/>
      <c r="E47" s="58"/>
      <c r="F47" s="58"/>
      <c r="G47" s="58"/>
      <c r="H47" s="58"/>
      <c r="I47" s="58"/>
      <c r="J47" s="58"/>
    </row>
    <row r="48" spans="1:18" ht="20.25" customHeight="1">
      <c r="A48" s="109" t="s">
        <v>126</v>
      </c>
      <c r="B48" s="110">
        <v>3400</v>
      </c>
      <c r="C48" s="94"/>
      <c r="D48" s="94"/>
      <c r="E48" s="94"/>
      <c r="F48" s="94"/>
      <c r="G48" s="94"/>
      <c r="H48" s="94"/>
      <c r="I48" s="94"/>
      <c r="J48" s="94"/>
    </row>
    <row r="49" spans="1:10" ht="47.25" customHeight="1">
      <c r="A49" s="67" t="s">
        <v>70</v>
      </c>
      <c r="B49" s="115"/>
      <c r="C49" s="58"/>
      <c r="D49" s="58"/>
      <c r="E49" s="58"/>
      <c r="F49" s="58"/>
      <c r="G49" s="58"/>
      <c r="H49" s="58"/>
      <c r="I49" s="58"/>
      <c r="J49" s="58"/>
    </row>
    <row r="50" spans="1:10" ht="20.100000000000001" customHeight="1">
      <c r="A50" s="67" t="s">
        <v>69</v>
      </c>
      <c r="B50" s="110">
        <v>3410</v>
      </c>
      <c r="C50" s="94"/>
      <c r="D50" s="94"/>
      <c r="E50" s="94"/>
      <c r="F50" s="94"/>
      <c r="G50" s="94"/>
      <c r="H50" s="94"/>
      <c r="I50" s="94"/>
      <c r="J50" s="94"/>
    </row>
    <row r="51" spans="1:10" ht="20.100000000000001" customHeight="1">
      <c r="A51" s="67" t="s">
        <v>74</v>
      </c>
      <c r="B51" s="112">
        <v>3420</v>
      </c>
      <c r="C51" s="94"/>
      <c r="D51" s="94"/>
      <c r="E51" s="94"/>
      <c r="F51" s="94"/>
      <c r="G51" s="94"/>
      <c r="H51" s="94"/>
      <c r="I51" s="94"/>
      <c r="J51" s="94"/>
    </row>
    <row r="52" spans="1:10" ht="20.100000000000001" customHeight="1">
      <c r="A52" s="67" t="s">
        <v>97</v>
      </c>
      <c r="B52" s="110">
        <v>3430</v>
      </c>
      <c r="C52" s="94"/>
      <c r="D52" s="94"/>
      <c r="E52" s="94"/>
      <c r="F52" s="94"/>
      <c r="G52" s="94"/>
      <c r="H52" s="94"/>
      <c r="I52" s="94"/>
      <c r="J52" s="94"/>
    </row>
    <row r="53" spans="1:10" ht="48.75" customHeight="1">
      <c r="A53" s="67" t="s">
        <v>72</v>
      </c>
      <c r="B53" s="110"/>
      <c r="C53" s="58"/>
      <c r="D53" s="58"/>
      <c r="E53" s="58"/>
      <c r="F53" s="58"/>
      <c r="G53" s="58"/>
      <c r="H53" s="58"/>
      <c r="I53" s="58"/>
      <c r="J53" s="58"/>
    </row>
    <row r="54" spans="1:10" ht="20.100000000000001" customHeight="1">
      <c r="A54" s="67" t="s">
        <v>69</v>
      </c>
      <c r="B54" s="112">
        <v>3440</v>
      </c>
      <c r="C54" s="94"/>
      <c r="D54" s="94"/>
      <c r="E54" s="94"/>
      <c r="F54" s="94"/>
      <c r="G54" s="94"/>
      <c r="H54" s="94"/>
      <c r="I54" s="94"/>
      <c r="J54" s="94"/>
    </row>
    <row r="55" spans="1:10" ht="20.100000000000001" customHeight="1">
      <c r="A55" s="67" t="s">
        <v>74</v>
      </c>
      <c r="B55" s="112">
        <v>3450</v>
      </c>
      <c r="C55" s="94"/>
      <c r="D55" s="94"/>
      <c r="E55" s="94"/>
      <c r="F55" s="94"/>
      <c r="G55" s="94"/>
      <c r="H55" s="94"/>
      <c r="I55" s="94"/>
      <c r="J55" s="94"/>
    </row>
    <row r="56" spans="1:10" ht="20.100000000000001" customHeight="1">
      <c r="A56" s="67" t="s">
        <v>97</v>
      </c>
      <c r="B56" s="112">
        <v>3460</v>
      </c>
      <c r="C56" s="94"/>
      <c r="D56" s="94"/>
      <c r="E56" s="94"/>
      <c r="F56" s="94"/>
      <c r="G56" s="94"/>
      <c r="H56" s="94"/>
      <c r="I56" s="94"/>
      <c r="J56" s="94"/>
    </row>
    <row r="57" spans="1:10" ht="32.25" customHeight="1">
      <c r="A57" s="67" t="s">
        <v>92</v>
      </c>
      <c r="B57" s="112">
        <v>3470</v>
      </c>
      <c r="C57" s="94"/>
      <c r="D57" s="94"/>
      <c r="E57" s="94"/>
      <c r="F57" s="94"/>
      <c r="G57" s="94"/>
      <c r="H57" s="94"/>
      <c r="I57" s="94"/>
      <c r="J57" s="94"/>
    </row>
    <row r="58" spans="1:10" ht="24" customHeight="1">
      <c r="A58" s="67" t="s">
        <v>93</v>
      </c>
      <c r="B58" s="112">
        <v>3480</v>
      </c>
      <c r="C58" s="94"/>
      <c r="D58" s="94"/>
      <c r="E58" s="94"/>
      <c r="F58" s="94"/>
      <c r="G58" s="94"/>
      <c r="H58" s="94"/>
      <c r="I58" s="94"/>
      <c r="J58" s="94"/>
    </row>
    <row r="59" spans="1:10" ht="20.100000000000001" customHeight="1">
      <c r="A59" s="108" t="s">
        <v>189</v>
      </c>
      <c r="B59" s="110"/>
      <c r="C59" s="58"/>
      <c r="D59" s="58"/>
      <c r="E59" s="58"/>
      <c r="F59" s="58"/>
      <c r="G59" s="58"/>
      <c r="H59" s="58"/>
      <c r="I59" s="58"/>
      <c r="J59" s="58"/>
    </row>
    <row r="60" spans="1:10" ht="51.75" customHeight="1">
      <c r="A60" s="67" t="s">
        <v>202</v>
      </c>
      <c r="B60" s="110">
        <v>3490</v>
      </c>
      <c r="C60" s="94"/>
      <c r="D60" s="94"/>
      <c r="E60" s="94"/>
      <c r="F60" s="94"/>
      <c r="G60" s="94"/>
      <c r="H60" s="94"/>
      <c r="I60" s="94"/>
      <c r="J60" s="94"/>
    </row>
    <row r="61" spans="1:10" ht="33" customHeight="1">
      <c r="A61" s="67" t="s">
        <v>203</v>
      </c>
      <c r="B61" s="110">
        <v>3500</v>
      </c>
      <c r="C61" s="94"/>
      <c r="D61" s="94"/>
      <c r="E61" s="94"/>
      <c r="F61" s="94"/>
      <c r="G61" s="94"/>
      <c r="H61" s="94"/>
      <c r="I61" s="94"/>
      <c r="J61" s="94"/>
    </row>
    <row r="62" spans="1:10" ht="45" customHeight="1">
      <c r="A62" s="67" t="s">
        <v>73</v>
      </c>
      <c r="B62" s="110"/>
      <c r="C62" s="58"/>
      <c r="D62" s="58"/>
      <c r="E62" s="58"/>
      <c r="F62" s="58"/>
      <c r="G62" s="58"/>
      <c r="H62" s="58"/>
      <c r="I62" s="58"/>
      <c r="J62" s="58"/>
    </row>
    <row r="63" spans="1:10" ht="20.100000000000001" customHeight="1">
      <c r="A63" s="67" t="s">
        <v>69</v>
      </c>
      <c r="B63" s="112">
        <v>3510</v>
      </c>
      <c r="C63" s="94"/>
      <c r="D63" s="94"/>
      <c r="E63" s="94"/>
      <c r="F63" s="94"/>
      <c r="G63" s="94"/>
      <c r="H63" s="94"/>
      <c r="I63" s="94"/>
      <c r="J63" s="94"/>
    </row>
    <row r="64" spans="1:10" ht="20.100000000000001" customHeight="1">
      <c r="A64" s="67" t="s">
        <v>74</v>
      </c>
      <c r="B64" s="112">
        <v>3520</v>
      </c>
      <c r="C64" s="94"/>
      <c r="D64" s="94"/>
      <c r="E64" s="94"/>
      <c r="F64" s="94"/>
      <c r="G64" s="94"/>
      <c r="H64" s="94"/>
      <c r="I64" s="94"/>
      <c r="J64" s="94"/>
    </row>
    <row r="65" spans="1:10" ht="20.100000000000001" customHeight="1">
      <c r="A65" s="67" t="s">
        <v>97</v>
      </c>
      <c r="B65" s="112">
        <v>3530</v>
      </c>
      <c r="C65" s="94"/>
      <c r="D65" s="94"/>
      <c r="E65" s="94"/>
      <c r="F65" s="94"/>
      <c r="G65" s="94"/>
      <c r="H65" s="94"/>
      <c r="I65" s="94"/>
      <c r="J65" s="94"/>
    </row>
    <row r="66" spans="1:10" ht="51.75" customHeight="1">
      <c r="A66" s="67" t="s">
        <v>71</v>
      </c>
      <c r="B66" s="110"/>
      <c r="C66" s="58"/>
      <c r="D66" s="58"/>
      <c r="E66" s="58"/>
      <c r="F66" s="58"/>
      <c r="G66" s="58"/>
      <c r="H66" s="58"/>
      <c r="I66" s="58"/>
      <c r="J66" s="58"/>
    </row>
    <row r="67" spans="1:10" ht="20.100000000000001" customHeight="1">
      <c r="A67" s="67" t="s">
        <v>69</v>
      </c>
      <c r="B67" s="112">
        <v>3540</v>
      </c>
      <c r="C67" s="94"/>
      <c r="D67" s="94"/>
      <c r="E67" s="94"/>
      <c r="F67" s="94"/>
      <c r="G67" s="94"/>
      <c r="H67" s="94"/>
      <c r="I67" s="94"/>
      <c r="J67" s="94"/>
    </row>
    <row r="68" spans="1:10" ht="20.100000000000001" customHeight="1">
      <c r="A68" s="67" t="s">
        <v>74</v>
      </c>
      <c r="B68" s="112">
        <v>3550</v>
      </c>
      <c r="C68" s="94"/>
      <c r="D68" s="94"/>
      <c r="E68" s="94"/>
      <c r="F68" s="94"/>
      <c r="G68" s="94"/>
      <c r="H68" s="94"/>
      <c r="I68" s="94"/>
      <c r="J68" s="94"/>
    </row>
    <row r="69" spans="1:10" ht="20.100000000000001" customHeight="1">
      <c r="A69" s="67" t="s">
        <v>97</v>
      </c>
      <c r="B69" s="112">
        <v>3560</v>
      </c>
      <c r="C69" s="94"/>
      <c r="D69" s="94"/>
      <c r="E69" s="94"/>
      <c r="F69" s="94"/>
      <c r="G69" s="94"/>
      <c r="H69" s="94"/>
      <c r="I69" s="94"/>
      <c r="J69" s="94"/>
    </row>
    <row r="70" spans="1:10" ht="20.100000000000001" customHeight="1">
      <c r="A70" s="67" t="s">
        <v>87</v>
      </c>
      <c r="B70" s="112">
        <v>3570</v>
      </c>
      <c r="C70" s="94"/>
      <c r="D70" s="94"/>
      <c r="E70" s="94"/>
      <c r="F70" s="94"/>
      <c r="G70" s="94"/>
      <c r="H70" s="94"/>
      <c r="I70" s="94"/>
      <c r="J70" s="94"/>
    </row>
    <row r="71" spans="1:10" ht="36" customHeight="1">
      <c r="A71" s="108" t="s">
        <v>122</v>
      </c>
      <c r="B71" s="112">
        <v>3580</v>
      </c>
      <c r="C71" s="94"/>
      <c r="D71" s="94"/>
      <c r="E71" s="94"/>
      <c r="F71" s="94"/>
      <c r="G71" s="94"/>
      <c r="H71" s="94"/>
      <c r="I71" s="94"/>
      <c r="J71" s="94"/>
    </row>
    <row r="72" spans="1:10" s="14" customFormat="1" ht="20.100000000000001" customHeight="1">
      <c r="A72" s="67" t="s">
        <v>16</v>
      </c>
      <c r="B72" s="112"/>
      <c r="C72" s="94">
        <v>196</v>
      </c>
      <c r="D72" s="94">
        <f t="shared" ref="D72:J72" si="3">D73+D75</f>
        <v>142.9</v>
      </c>
      <c r="E72" s="94">
        <f>E73+E75</f>
        <v>282</v>
      </c>
      <c r="F72" s="94">
        <f>F73+F75</f>
        <v>152.83608000000004</v>
      </c>
      <c r="G72" s="94">
        <f>G73+G75</f>
        <v>128.21476000000018</v>
      </c>
      <c r="H72" s="94">
        <f t="shared" si="3"/>
        <v>144.61475999999999</v>
      </c>
      <c r="I72" s="94">
        <f t="shared" si="3"/>
        <v>161.02623999999992</v>
      </c>
      <c r="J72" s="94">
        <f t="shared" si="3"/>
        <v>177.39999999999998</v>
      </c>
    </row>
    <row r="73" spans="1:10" s="80" customFormat="1" ht="20.100000000000001" customHeight="1">
      <c r="A73" s="116" t="s">
        <v>17</v>
      </c>
      <c r="B73" s="117">
        <v>3600</v>
      </c>
      <c r="C73" s="118">
        <v>59</v>
      </c>
      <c r="D73" s="118">
        <v>60</v>
      </c>
      <c r="E73" s="118">
        <v>137</v>
      </c>
      <c r="F73" s="118">
        <v>60</v>
      </c>
      <c r="G73" s="118">
        <v>60</v>
      </c>
      <c r="H73" s="118">
        <v>68.2</v>
      </c>
      <c r="I73" s="118">
        <v>76.400000000000006</v>
      </c>
      <c r="J73" s="118">
        <v>84.6</v>
      </c>
    </row>
    <row r="74" spans="1:10" s="14" customFormat="1" ht="38.25" customHeight="1">
      <c r="A74" s="119" t="s">
        <v>127</v>
      </c>
      <c r="B74" s="112">
        <v>3610</v>
      </c>
      <c r="C74" s="120"/>
      <c r="D74" s="120"/>
      <c r="E74" s="120"/>
      <c r="F74" s="120"/>
      <c r="G74" s="120"/>
      <c r="H74" s="120"/>
      <c r="I74" s="120"/>
      <c r="J74" s="120"/>
    </row>
    <row r="75" spans="1:10" s="80" customFormat="1" ht="20.100000000000001" customHeight="1">
      <c r="A75" s="116" t="s">
        <v>38</v>
      </c>
      <c r="B75" s="117">
        <v>3620</v>
      </c>
      <c r="C75" s="118">
        <v>137</v>
      </c>
      <c r="D75" s="118">
        <v>82.9</v>
      </c>
      <c r="E75" s="118">
        <v>145</v>
      </c>
      <c r="F75" s="118">
        <f>F76+F73+F74</f>
        <v>92.836080000000038</v>
      </c>
      <c r="G75" s="118">
        <f>G76+G73+G74</f>
        <v>68.214760000000169</v>
      </c>
      <c r="H75" s="118">
        <f>H76+H73+H74</f>
        <v>76.414759999999987</v>
      </c>
      <c r="I75" s="118">
        <f>I76+I73+I74</f>
        <v>84.626239999999925</v>
      </c>
      <c r="J75" s="118">
        <v>92.8</v>
      </c>
    </row>
    <row r="76" spans="1:10" s="14" customFormat="1" ht="24" customHeight="1">
      <c r="A76" s="113" t="s">
        <v>18</v>
      </c>
      <c r="B76" s="121">
        <v>3630</v>
      </c>
      <c r="C76" s="122">
        <v>26.7</v>
      </c>
      <c r="D76" s="122">
        <v>22.9</v>
      </c>
      <c r="E76" s="122">
        <f>'1.1.Фінансовий результат'!E96</f>
        <v>31.242000000000001</v>
      </c>
      <c r="F76" s="122">
        <f>'1.1.Фінансовий результат'!F96</f>
        <v>32.836080000000045</v>
      </c>
      <c r="G76" s="122">
        <f>'1.1.Фінансовий результат'!G96</f>
        <v>8.2147600000001724</v>
      </c>
      <c r="H76" s="122">
        <f>'1.1.Фінансовий результат'!H96</f>
        <v>8.2147599999999859</v>
      </c>
      <c r="I76" s="122">
        <f>'1.1.Фінансовий результат'!I96</f>
        <v>8.2262399999999243</v>
      </c>
      <c r="J76" s="122">
        <f>'1.1.Фінансовий результат'!J96</f>
        <v>8.180319999999961</v>
      </c>
    </row>
    <row r="77" spans="1:10" s="14" customFormat="1" ht="20.100000000000001" customHeight="1">
      <c r="A77" s="16"/>
      <c r="B77" s="123"/>
      <c r="C77" s="124"/>
      <c r="D77" s="124"/>
      <c r="E77" s="124"/>
      <c r="F77" s="125"/>
      <c r="G77" s="126"/>
      <c r="H77" s="126"/>
      <c r="I77" s="126"/>
      <c r="J77" s="126"/>
    </row>
    <row r="78" spans="1:10" s="14" customFormat="1" ht="20.100000000000001" customHeight="1">
      <c r="A78" s="16"/>
      <c r="B78" s="123"/>
      <c r="C78" s="124"/>
      <c r="D78" s="124"/>
      <c r="E78" s="124"/>
      <c r="F78" s="125"/>
      <c r="G78" s="126"/>
      <c r="H78" s="126"/>
      <c r="I78" s="126"/>
      <c r="J78" s="126"/>
    </row>
    <row r="79" spans="1:10" s="3" customFormat="1" ht="20.100000000000001" customHeight="1">
      <c r="A79" s="127" t="s">
        <v>268</v>
      </c>
      <c r="B79" s="128"/>
      <c r="C79" s="520" t="s">
        <v>82</v>
      </c>
      <c r="D79" s="520"/>
      <c r="E79" s="520"/>
      <c r="F79" s="521"/>
      <c r="G79" s="129"/>
      <c r="H79" s="517" t="s">
        <v>326</v>
      </c>
      <c r="I79" s="517"/>
      <c r="J79" s="517"/>
    </row>
    <row r="80" spans="1:10" ht="20.100000000000001" customHeight="1">
      <c r="A80" s="131" t="s">
        <v>196</v>
      </c>
      <c r="B80" s="130"/>
      <c r="C80" s="517" t="s">
        <v>59</v>
      </c>
      <c r="D80" s="517"/>
      <c r="E80" s="517"/>
      <c r="F80" s="517"/>
      <c r="G80" s="132"/>
      <c r="H80" s="543" t="s">
        <v>78</v>
      </c>
      <c r="I80" s="543"/>
      <c r="J80" s="543"/>
    </row>
    <row r="81" spans="3:5">
      <c r="C81" s="4"/>
      <c r="D81" s="4"/>
      <c r="E81" s="4"/>
    </row>
    <row r="82" spans="3:5">
      <c r="C82" s="4"/>
      <c r="D82" s="4"/>
      <c r="E82" s="4"/>
    </row>
    <row r="83" spans="3:5">
      <c r="C83" s="4"/>
      <c r="D83" s="4"/>
      <c r="E83" s="4"/>
    </row>
    <row r="84" spans="3:5">
      <c r="C84" s="4"/>
      <c r="D84" s="4"/>
      <c r="E84" s="4"/>
    </row>
    <row r="85" spans="3:5">
      <c r="C85" s="4"/>
      <c r="D85" s="4"/>
      <c r="E85" s="4"/>
    </row>
    <row r="86" spans="3:5">
      <c r="C86" s="4"/>
      <c r="D86" s="4"/>
      <c r="E86" s="4"/>
    </row>
    <row r="87" spans="3:5">
      <c r="C87" s="4"/>
      <c r="D87" s="4"/>
      <c r="E87" s="4"/>
    </row>
    <row r="88" spans="3:5">
      <c r="C88" s="4"/>
      <c r="D88" s="4"/>
      <c r="E88" s="4"/>
    </row>
    <row r="89" spans="3:5">
      <c r="C89" s="4"/>
      <c r="D89" s="4"/>
      <c r="E89" s="4"/>
    </row>
    <row r="90" spans="3:5">
      <c r="C90" s="4"/>
      <c r="D90" s="4"/>
      <c r="E90" s="4"/>
    </row>
    <row r="91" spans="3:5">
      <c r="C91" s="4"/>
      <c r="D91" s="4"/>
      <c r="E91" s="4"/>
    </row>
    <row r="92" spans="3:5">
      <c r="C92" s="4"/>
      <c r="D92" s="4"/>
      <c r="E92" s="4"/>
    </row>
    <row r="93" spans="3:5">
      <c r="C93" s="4"/>
      <c r="D93" s="4"/>
      <c r="E93" s="4"/>
    </row>
    <row r="94" spans="3:5">
      <c r="C94" s="4"/>
      <c r="D94" s="4"/>
      <c r="E94" s="4"/>
    </row>
    <row r="95" spans="3:5">
      <c r="C95" s="4"/>
      <c r="D95" s="4"/>
      <c r="E95" s="4"/>
    </row>
    <row r="96" spans="3:5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  <row r="104" spans="3:5">
      <c r="C104" s="4"/>
      <c r="D104" s="4"/>
      <c r="E104" s="4"/>
    </row>
    <row r="105" spans="3:5">
      <c r="C105" s="4"/>
      <c r="D105" s="4"/>
      <c r="E105" s="4"/>
    </row>
    <row r="106" spans="3:5">
      <c r="C106" s="4"/>
      <c r="D106" s="4"/>
      <c r="E106" s="4"/>
    </row>
    <row r="107" spans="3:5">
      <c r="C107" s="4"/>
      <c r="D107" s="4"/>
      <c r="E107" s="4"/>
    </row>
    <row r="108" spans="3:5">
      <c r="C108" s="4"/>
      <c r="D108" s="4"/>
      <c r="E108" s="4"/>
    </row>
    <row r="109" spans="3:5">
      <c r="C109" s="4"/>
      <c r="D109" s="4"/>
      <c r="E109" s="4"/>
    </row>
    <row r="110" spans="3:5">
      <c r="C110" s="4"/>
      <c r="D110" s="4"/>
      <c r="E110" s="4"/>
    </row>
    <row r="111" spans="3:5">
      <c r="C111" s="4"/>
      <c r="D111" s="4"/>
      <c r="E111" s="4"/>
    </row>
  </sheetData>
  <mergeCells count="15">
    <mergeCell ref="C80:F80"/>
    <mergeCell ref="H80:J80"/>
    <mergeCell ref="A29:J29"/>
    <mergeCell ref="A7:J7"/>
    <mergeCell ref="A46:J46"/>
    <mergeCell ref="C79:F79"/>
    <mergeCell ref="H79:J79"/>
    <mergeCell ref="A2:J2"/>
    <mergeCell ref="A4:A5"/>
    <mergeCell ref="B4:B5"/>
    <mergeCell ref="C4:C5"/>
    <mergeCell ref="F4:F5"/>
    <mergeCell ref="G4:J4"/>
    <mergeCell ref="D4:D5"/>
    <mergeCell ref="E4:E5"/>
  </mergeCells>
  <phoneticPr fontId="3" type="noConversion"/>
  <pageMargins left="0.70866141732283472" right="0.19685039370078741" top="0.78740157480314965" bottom="0.78740157480314965" header="0.19685039370078741" footer="0.23622047244094491"/>
  <pageSetup paperSize="9" scale="50" fitToHeight="0" orientation="portrait" r:id="rId1"/>
  <headerFooter alignWithMargins="0">
    <oddHeader>&amp;C&amp;"Times New Roman,обычный"&amp;14 9&amp;R&amp;"Times New Roman,обычный"&amp;14Продовження додатка 1</oddHeader>
  </headerFooter>
  <rowBreaks count="1" manualBreakCount="1">
    <brk id="5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189"/>
  <sheetViews>
    <sheetView view="pageBreakPreview" topLeftCell="A7" zoomScale="60" workbookViewId="0">
      <selection activeCell="M15" sqref="M15:N16"/>
    </sheetView>
  </sheetViews>
  <sheetFormatPr defaultRowHeight="18.75" outlineLevelRow="1"/>
  <cols>
    <col min="1" max="1" width="52.85546875" style="239" customWidth="1"/>
    <col min="2" max="2" width="10.7109375" style="21" customWidth="1"/>
    <col min="3" max="3" width="10.140625" style="239" customWidth="1"/>
    <col min="4" max="4" width="12.140625" style="239" customWidth="1"/>
    <col min="5" max="5" width="10.7109375" style="239" bestFit="1" customWidth="1"/>
    <col min="6" max="6" width="11.7109375" style="239" customWidth="1"/>
    <col min="7" max="7" width="18.28515625" style="239" customWidth="1"/>
    <col min="8" max="8" width="15.140625" customWidth="1"/>
  </cols>
  <sheetData>
    <row r="2" spans="1:8">
      <c r="A2" s="502" t="s">
        <v>537</v>
      </c>
      <c r="B2" s="502"/>
      <c r="C2" s="502"/>
      <c r="D2" s="502"/>
      <c r="E2" s="502"/>
      <c r="F2" s="502"/>
      <c r="G2" s="502"/>
    </row>
    <row r="3" spans="1:8">
      <c r="A3" s="575"/>
      <c r="B3" s="575"/>
      <c r="C3" s="575"/>
      <c r="D3" s="575"/>
      <c r="E3" s="575"/>
      <c r="F3" s="575"/>
      <c r="G3" s="575"/>
    </row>
    <row r="4" spans="1:8" ht="18.75" customHeight="1">
      <c r="A4" s="497" t="s">
        <v>183</v>
      </c>
      <c r="B4" s="498" t="s">
        <v>5</v>
      </c>
      <c r="C4" s="555" t="s">
        <v>414</v>
      </c>
      <c r="D4" s="555"/>
      <c r="E4" s="555"/>
      <c r="F4" s="555"/>
      <c r="G4" s="573" t="s">
        <v>419</v>
      </c>
    </row>
    <row r="5" spans="1:8" ht="57.75" customHeight="1">
      <c r="A5" s="497"/>
      <c r="B5" s="499"/>
      <c r="C5" s="259" t="s">
        <v>412</v>
      </c>
      <c r="D5" s="259" t="s">
        <v>415</v>
      </c>
      <c r="E5" s="259" t="s">
        <v>416</v>
      </c>
      <c r="F5" s="259" t="s">
        <v>418</v>
      </c>
      <c r="G5" s="574"/>
    </row>
    <row r="6" spans="1:8">
      <c r="A6" s="230">
        <v>1</v>
      </c>
      <c r="B6" s="232">
        <v>2</v>
      </c>
      <c r="C6" s="232">
        <v>3</v>
      </c>
      <c r="D6" s="232">
        <v>4</v>
      </c>
      <c r="E6" s="232">
        <v>5</v>
      </c>
      <c r="F6" s="232">
        <v>6</v>
      </c>
      <c r="G6" s="232">
        <v>7</v>
      </c>
    </row>
    <row r="7" spans="1:8" ht="37.5">
      <c r="A7" s="329" t="s">
        <v>61</v>
      </c>
      <c r="B7" s="330">
        <v>4000</v>
      </c>
      <c r="C7" s="331">
        <f>C8+C9+C15+C16+C17</f>
        <v>3760</v>
      </c>
      <c r="D7" s="331">
        <f>D8+D9+D15+D16+D17</f>
        <v>4218.8999999999996</v>
      </c>
      <c r="E7" s="331">
        <f>D7-C7</f>
        <v>458.89999999999964</v>
      </c>
      <c r="F7" s="82">
        <f>D7/C7*100</f>
        <v>112.20478723404254</v>
      </c>
      <c r="G7" s="332"/>
    </row>
    <row r="8" spans="1:8">
      <c r="A8" s="8" t="s">
        <v>322</v>
      </c>
      <c r="B8" s="53" t="s">
        <v>167</v>
      </c>
      <c r="C8" s="331">
        <f>'4.1.Кап. інвестиції'!G9+'4.1.Кап. інвестиції'!H9</f>
        <v>0</v>
      </c>
      <c r="D8" s="82">
        <v>0</v>
      </c>
      <c r="E8" s="331">
        <f t="shared" ref="E8:E20" si="0">D8-C8</f>
        <v>0</v>
      </c>
      <c r="F8" s="412" t="e">
        <f t="shared" ref="F8:F20" si="1">D8/C8*100</f>
        <v>#DIV/0!</v>
      </c>
      <c r="G8" s="56"/>
    </row>
    <row r="9" spans="1:8" ht="37.5">
      <c r="A9" s="225" t="s">
        <v>444</v>
      </c>
      <c r="B9" s="52">
        <v>4020</v>
      </c>
      <c r="C9" s="82">
        <f>C10+C11+C12+C13</f>
        <v>3760</v>
      </c>
      <c r="D9" s="82">
        <f>D10+D11+D12+D13+D14</f>
        <v>4218.8999999999996</v>
      </c>
      <c r="E9" s="331">
        <f>D9-C9</f>
        <v>458.89999999999964</v>
      </c>
      <c r="F9" s="332">
        <f t="shared" si="1"/>
        <v>112.20478723404254</v>
      </c>
      <c r="G9" s="56"/>
    </row>
    <row r="10" spans="1:8" ht="47.25" customHeight="1">
      <c r="A10" s="245" t="s">
        <v>517</v>
      </c>
      <c r="B10" s="53" t="s">
        <v>324</v>
      </c>
      <c r="C10" s="338">
        <f>'4.1.Кап. інвестиції'!G11+'4.1.Кап. інвестиції'!H11</f>
        <v>1650</v>
      </c>
      <c r="D10" s="144"/>
      <c r="E10" s="338">
        <f t="shared" si="0"/>
        <v>-1650</v>
      </c>
      <c r="F10" s="344">
        <f t="shared" si="1"/>
        <v>0</v>
      </c>
      <c r="G10" s="285" t="s">
        <v>543</v>
      </c>
    </row>
    <row r="11" spans="1:8" ht="36.75" customHeight="1">
      <c r="A11" s="245" t="s">
        <v>403</v>
      </c>
      <c r="B11" s="53" t="s">
        <v>371</v>
      </c>
      <c r="C11" s="338">
        <f>'4.1.Кап. інвестиції'!G12+'4.1.Кап. інвестиції'!H12</f>
        <v>460</v>
      </c>
      <c r="D11" s="265">
        <v>474.9</v>
      </c>
      <c r="E11" s="338">
        <f t="shared" si="0"/>
        <v>14.899999999999977</v>
      </c>
      <c r="F11" s="338">
        <f t="shared" si="1"/>
        <v>103.23913043478261</v>
      </c>
      <c r="G11" s="339"/>
    </row>
    <row r="12" spans="1:8" ht="67.5" customHeight="1">
      <c r="A12" s="246" t="s">
        <v>525</v>
      </c>
      <c r="B12" s="53" t="s">
        <v>406</v>
      </c>
      <c r="C12" s="338">
        <f>'4.1.Кап. інвестиції'!G13+'4.1.Кап. інвестиції'!H13</f>
        <v>0</v>
      </c>
      <c r="D12" s="263">
        <v>0</v>
      </c>
      <c r="E12" s="338">
        <f t="shared" si="0"/>
        <v>0</v>
      </c>
      <c r="F12" s="413" t="e">
        <f t="shared" si="1"/>
        <v>#DIV/0!</v>
      </c>
      <c r="G12" s="339"/>
    </row>
    <row r="13" spans="1:8" ht="52.5" customHeight="1">
      <c r="A13" s="247" t="s">
        <v>524</v>
      </c>
      <c r="B13" s="53" t="s">
        <v>407</v>
      </c>
      <c r="C13" s="338">
        <f>'4.1.Кап. інвестиції'!G14+'4.1.Кап. інвестиції'!H14</f>
        <v>1650</v>
      </c>
      <c r="D13" s="263">
        <v>1998</v>
      </c>
      <c r="E13" s="480">
        <f t="shared" si="0"/>
        <v>348</v>
      </c>
      <c r="F13" s="414">
        <f t="shared" si="1"/>
        <v>121.09090909090909</v>
      </c>
      <c r="G13" s="58"/>
    </row>
    <row r="14" spans="1:8" ht="48.75" customHeight="1">
      <c r="A14" s="143" t="s">
        <v>542</v>
      </c>
      <c r="B14" s="53"/>
      <c r="C14" s="338"/>
      <c r="D14" s="265">
        <v>1746</v>
      </c>
      <c r="E14" s="338">
        <f t="shared" si="0"/>
        <v>1746</v>
      </c>
      <c r="F14" s="414"/>
      <c r="G14" s="285" t="s">
        <v>543</v>
      </c>
    </row>
    <row r="15" spans="1:8" s="267" customFormat="1" ht="36.75" customHeight="1">
      <c r="A15" s="248" t="s">
        <v>13</v>
      </c>
      <c r="B15" s="53">
        <v>4030</v>
      </c>
      <c r="C15" s="331">
        <f>'4.1.Кап. інвестиції'!G15+'4.1.Кап. інвестиції'!H15</f>
        <v>0</v>
      </c>
      <c r="D15" s="82">
        <v>0</v>
      </c>
      <c r="E15" s="337">
        <f t="shared" si="0"/>
        <v>0</v>
      </c>
      <c r="F15" s="415" t="e">
        <f t="shared" si="1"/>
        <v>#DIV/0!</v>
      </c>
      <c r="G15" s="283"/>
      <c r="H15"/>
    </row>
    <row r="16" spans="1:8" ht="37.5">
      <c r="A16" s="225" t="s">
        <v>1</v>
      </c>
      <c r="B16" s="52">
        <v>4040</v>
      </c>
      <c r="C16" s="331">
        <f>'4.1.Кап. інвестиції'!G16+'4.1.Кап. інвестиції'!H16</f>
        <v>0</v>
      </c>
      <c r="D16" s="240"/>
      <c r="E16" s="331">
        <f t="shared" si="0"/>
        <v>0</v>
      </c>
      <c r="F16" s="412" t="e">
        <f t="shared" si="1"/>
        <v>#DIV/0!</v>
      </c>
      <c r="G16" s="56"/>
    </row>
    <row r="17" spans="1:7" ht="56.25" customHeight="1">
      <c r="A17" s="225" t="s">
        <v>445</v>
      </c>
      <c r="B17" s="53">
        <v>4050</v>
      </c>
      <c r="C17" s="331">
        <f>C18+C19+C20</f>
        <v>0</v>
      </c>
      <c r="D17" s="331">
        <f>D18+D19+D20</f>
        <v>0</v>
      </c>
      <c r="E17" s="331">
        <f t="shared" si="0"/>
        <v>0</v>
      </c>
      <c r="F17" s="412" t="e">
        <f t="shared" si="1"/>
        <v>#DIV/0!</v>
      </c>
      <c r="G17" s="56"/>
    </row>
    <row r="18" spans="1:7" ht="30.75" hidden="1" customHeight="1" outlineLevel="1">
      <c r="A18" s="340" t="s">
        <v>365</v>
      </c>
      <c r="B18" s="341" t="s">
        <v>446</v>
      </c>
      <c r="C18" s="338">
        <f>'4.1.Кап. інвестиції'!G18</f>
        <v>0</v>
      </c>
      <c r="D18" s="342">
        <v>0</v>
      </c>
      <c r="E18" s="338">
        <f t="shared" si="0"/>
        <v>0</v>
      </c>
      <c r="F18" s="413" t="e">
        <f t="shared" si="1"/>
        <v>#DIV/0!</v>
      </c>
      <c r="G18" s="339"/>
    </row>
    <row r="19" spans="1:7" ht="36" hidden="1" customHeight="1" outlineLevel="1">
      <c r="A19" s="340" t="s">
        <v>366</v>
      </c>
      <c r="B19" s="112" t="s">
        <v>368</v>
      </c>
      <c r="C19" s="338">
        <f>'4.1.Кап. інвестиції'!G19</f>
        <v>0</v>
      </c>
      <c r="D19" s="342"/>
      <c r="E19" s="338">
        <f t="shared" si="0"/>
        <v>0</v>
      </c>
      <c r="F19" s="413" t="e">
        <f t="shared" si="1"/>
        <v>#DIV/0!</v>
      </c>
      <c r="G19" s="339"/>
    </row>
    <row r="20" spans="1:7" ht="47.25" hidden="1" customHeight="1" outlineLevel="1">
      <c r="A20" s="340" t="s">
        <v>367</v>
      </c>
      <c r="B20" s="112" t="s">
        <v>360</v>
      </c>
      <c r="C20" s="338">
        <f>'4.1.Кап. інвестиції'!G20</f>
        <v>0</v>
      </c>
      <c r="D20" s="343">
        <v>0</v>
      </c>
      <c r="E20" s="338">
        <f t="shared" si="0"/>
        <v>0</v>
      </c>
      <c r="F20" s="413" t="e">
        <f t="shared" si="1"/>
        <v>#DIV/0!</v>
      </c>
      <c r="G20" s="339"/>
    </row>
    <row r="21" spans="1:7" collapsed="1">
      <c r="A21" s="228"/>
      <c r="B21" s="2"/>
    </row>
    <row r="22" spans="1:7">
      <c r="A22" s="298" t="s">
        <v>417</v>
      </c>
      <c r="B22" s="1"/>
      <c r="C22" s="336"/>
      <c r="D22" s="336"/>
      <c r="F22" s="551" t="s">
        <v>448</v>
      </c>
      <c r="G22" s="551"/>
    </row>
    <row r="23" spans="1:7" s="264" customFormat="1" ht="12.75">
      <c r="A23" s="271" t="s">
        <v>442</v>
      </c>
      <c r="B23" s="272"/>
      <c r="C23" s="334" t="s">
        <v>59</v>
      </c>
      <c r="D23" s="273"/>
      <c r="E23" s="504" t="s">
        <v>447</v>
      </c>
      <c r="F23" s="504"/>
      <c r="G23" s="504"/>
    </row>
    <row r="24" spans="1:7">
      <c r="A24" s="37"/>
    </row>
    <row r="25" spans="1:7">
      <c r="A25" s="37"/>
    </row>
    <row r="26" spans="1:7">
      <c r="A26" s="37"/>
    </row>
    <row r="27" spans="1:7">
      <c r="A27" s="37"/>
    </row>
    <row r="28" spans="1:7">
      <c r="A28" s="37"/>
    </row>
    <row r="29" spans="1:7">
      <c r="A29" s="37"/>
    </row>
    <row r="30" spans="1:7">
      <c r="A30" s="37"/>
    </row>
    <row r="31" spans="1:7">
      <c r="A31" s="37"/>
    </row>
    <row r="32" spans="1:7">
      <c r="A32" s="37"/>
    </row>
    <row r="33" spans="1:1">
      <c r="A33" s="37"/>
    </row>
    <row r="34" spans="1:1">
      <c r="A34" s="37"/>
    </row>
    <row r="35" spans="1:1">
      <c r="A35" s="37"/>
    </row>
    <row r="36" spans="1:1">
      <c r="A36" s="37"/>
    </row>
    <row r="37" spans="1:1">
      <c r="A37" s="37"/>
    </row>
    <row r="38" spans="1:1">
      <c r="A38" s="37"/>
    </row>
    <row r="39" spans="1:1">
      <c r="A39" s="37"/>
    </row>
    <row r="40" spans="1:1">
      <c r="A40" s="37"/>
    </row>
    <row r="41" spans="1:1">
      <c r="A41" s="37"/>
    </row>
    <row r="42" spans="1:1">
      <c r="A42" s="37"/>
    </row>
    <row r="43" spans="1:1">
      <c r="A43" s="37"/>
    </row>
    <row r="44" spans="1:1">
      <c r="A44" s="37"/>
    </row>
    <row r="45" spans="1:1">
      <c r="A45" s="37"/>
    </row>
    <row r="46" spans="1:1">
      <c r="A46" s="37"/>
    </row>
    <row r="47" spans="1:1">
      <c r="A47" s="37"/>
    </row>
    <row r="48" spans="1:1">
      <c r="A48" s="37"/>
    </row>
    <row r="49" spans="1:1">
      <c r="A49" s="37"/>
    </row>
    <row r="50" spans="1:1">
      <c r="A50" s="37"/>
    </row>
    <row r="51" spans="1:1">
      <c r="A51" s="37"/>
    </row>
    <row r="52" spans="1:1">
      <c r="A52" s="37"/>
    </row>
    <row r="53" spans="1:1">
      <c r="A53" s="37"/>
    </row>
    <row r="54" spans="1:1">
      <c r="A54" s="37"/>
    </row>
    <row r="55" spans="1:1">
      <c r="A55" s="37"/>
    </row>
    <row r="56" spans="1:1">
      <c r="A56" s="37"/>
    </row>
    <row r="57" spans="1:1">
      <c r="A57" s="37"/>
    </row>
    <row r="58" spans="1:1">
      <c r="A58" s="37"/>
    </row>
    <row r="59" spans="1:1">
      <c r="A59" s="37"/>
    </row>
    <row r="60" spans="1:1">
      <c r="A60" s="37"/>
    </row>
    <row r="61" spans="1:1">
      <c r="A61" s="37"/>
    </row>
    <row r="62" spans="1:1">
      <c r="A62" s="37"/>
    </row>
    <row r="63" spans="1:1">
      <c r="A63" s="37"/>
    </row>
    <row r="64" spans="1:1">
      <c r="A64" s="37"/>
    </row>
    <row r="65" spans="1:1">
      <c r="A65" s="37"/>
    </row>
    <row r="66" spans="1:1">
      <c r="A66" s="37"/>
    </row>
    <row r="67" spans="1:1">
      <c r="A67" s="37"/>
    </row>
    <row r="68" spans="1:1">
      <c r="A68" s="37"/>
    </row>
    <row r="69" spans="1:1">
      <c r="A69" s="37"/>
    </row>
    <row r="70" spans="1:1">
      <c r="A70" s="37"/>
    </row>
    <row r="71" spans="1:1">
      <c r="A71" s="37"/>
    </row>
    <row r="72" spans="1:1">
      <c r="A72" s="37"/>
    </row>
    <row r="73" spans="1:1">
      <c r="A73" s="37"/>
    </row>
    <row r="74" spans="1:1">
      <c r="A74" s="37"/>
    </row>
    <row r="75" spans="1:1">
      <c r="A75" s="37"/>
    </row>
    <row r="76" spans="1:1">
      <c r="A76" s="37"/>
    </row>
    <row r="77" spans="1:1">
      <c r="A77" s="37"/>
    </row>
    <row r="78" spans="1:1">
      <c r="A78" s="37"/>
    </row>
    <row r="79" spans="1:1">
      <c r="A79" s="37"/>
    </row>
    <row r="80" spans="1:1">
      <c r="A80" s="37"/>
    </row>
    <row r="81" spans="1:1">
      <c r="A81" s="37"/>
    </row>
    <row r="82" spans="1:1">
      <c r="A82" s="37"/>
    </row>
    <row r="83" spans="1:1">
      <c r="A83" s="37"/>
    </row>
    <row r="84" spans="1:1">
      <c r="A84" s="37"/>
    </row>
    <row r="85" spans="1:1">
      <c r="A85" s="37"/>
    </row>
    <row r="86" spans="1:1">
      <c r="A86" s="37"/>
    </row>
    <row r="87" spans="1:1">
      <c r="A87" s="37"/>
    </row>
    <row r="88" spans="1:1">
      <c r="A88" s="37"/>
    </row>
    <row r="89" spans="1:1">
      <c r="A89" s="37"/>
    </row>
    <row r="90" spans="1:1">
      <c r="A90" s="37"/>
    </row>
    <row r="91" spans="1:1">
      <c r="A91" s="37"/>
    </row>
    <row r="92" spans="1:1">
      <c r="A92" s="37"/>
    </row>
    <row r="93" spans="1:1">
      <c r="A93" s="37"/>
    </row>
    <row r="94" spans="1:1">
      <c r="A94" s="37"/>
    </row>
    <row r="95" spans="1:1">
      <c r="A95" s="37"/>
    </row>
    <row r="96" spans="1:1">
      <c r="A96" s="37"/>
    </row>
    <row r="97" spans="1:1">
      <c r="A97" s="37"/>
    </row>
    <row r="98" spans="1:1">
      <c r="A98" s="37"/>
    </row>
    <row r="99" spans="1:1">
      <c r="A99" s="37"/>
    </row>
    <row r="100" spans="1:1">
      <c r="A100" s="37"/>
    </row>
    <row r="101" spans="1:1">
      <c r="A101" s="37"/>
    </row>
    <row r="102" spans="1:1">
      <c r="A102" s="37"/>
    </row>
    <row r="103" spans="1:1">
      <c r="A103" s="37"/>
    </row>
    <row r="104" spans="1:1">
      <c r="A104" s="37"/>
    </row>
    <row r="105" spans="1:1">
      <c r="A105" s="37"/>
    </row>
    <row r="106" spans="1:1">
      <c r="A106" s="37"/>
    </row>
    <row r="107" spans="1:1">
      <c r="A107" s="37"/>
    </row>
    <row r="108" spans="1:1">
      <c r="A108" s="37"/>
    </row>
    <row r="109" spans="1:1">
      <c r="A109" s="37"/>
    </row>
    <row r="110" spans="1:1">
      <c r="A110" s="37"/>
    </row>
    <row r="111" spans="1:1">
      <c r="A111" s="37"/>
    </row>
    <row r="112" spans="1:1">
      <c r="A112" s="37"/>
    </row>
    <row r="113" spans="1:1">
      <c r="A113" s="37"/>
    </row>
    <row r="114" spans="1:1">
      <c r="A114" s="37"/>
    </row>
    <row r="115" spans="1:1">
      <c r="A115" s="37"/>
    </row>
    <row r="116" spans="1:1">
      <c r="A116" s="37"/>
    </row>
    <row r="117" spans="1:1">
      <c r="A117" s="37"/>
    </row>
    <row r="118" spans="1:1">
      <c r="A118" s="37"/>
    </row>
    <row r="119" spans="1:1">
      <c r="A119" s="37"/>
    </row>
    <row r="120" spans="1:1">
      <c r="A120" s="37"/>
    </row>
    <row r="121" spans="1:1">
      <c r="A121" s="37"/>
    </row>
    <row r="122" spans="1:1">
      <c r="A122" s="37"/>
    </row>
    <row r="123" spans="1:1">
      <c r="A123" s="37"/>
    </row>
    <row r="124" spans="1:1">
      <c r="A124" s="37"/>
    </row>
    <row r="125" spans="1:1">
      <c r="A125" s="37"/>
    </row>
    <row r="126" spans="1:1">
      <c r="A126" s="37"/>
    </row>
    <row r="127" spans="1:1">
      <c r="A127" s="37"/>
    </row>
    <row r="128" spans="1:1">
      <c r="A128" s="37"/>
    </row>
    <row r="129" spans="1:1">
      <c r="A129" s="37"/>
    </row>
    <row r="130" spans="1:1">
      <c r="A130" s="37"/>
    </row>
    <row r="131" spans="1:1">
      <c r="A131" s="37"/>
    </row>
    <row r="132" spans="1:1">
      <c r="A132" s="37"/>
    </row>
    <row r="133" spans="1:1">
      <c r="A133" s="37"/>
    </row>
    <row r="134" spans="1:1">
      <c r="A134" s="37"/>
    </row>
    <row r="135" spans="1:1">
      <c r="A135" s="37"/>
    </row>
    <row r="136" spans="1:1">
      <c r="A136" s="37"/>
    </row>
    <row r="137" spans="1:1">
      <c r="A137" s="37"/>
    </row>
    <row r="138" spans="1:1">
      <c r="A138" s="37"/>
    </row>
    <row r="139" spans="1:1">
      <c r="A139" s="37"/>
    </row>
    <row r="140" spans="1:1">
      <c r="A140" s="37"/>
    </row>
    <row r="141" spans="1:1">
      <c r="A141" s="37"/>
    </row>
    <row r="142" spans="1:1">
      <c r="A142" s="37"/>
    </row>
    <row r="143" spans="1:1">
      <c r="A143" s="37"/>
    </row>
    <row r="144" spans="1:1">
      <c r="A144" s="37"/>
    </row>
    <row r="145" spans="1:1">
      <c r="A145" s="37"/>
    </row>
    <row r="146" spans="1:1">
      <c r="A146" s="37"/>
    </row>
    <row r="147" spans="1:1">
      <c r="A147" s="37"/>
    </row>
    <row r="148" spans="1:1">
      <c r="A148" s="37"/>
    </row>
    <row r="149" spans="1:1">
      <c r="A149" s="37"/>
    </row>
    <row r="150" spans="1:1">
      <c r="A150" s="37"/>
    </row>
    <row r="151" spans="1:1">
      <c r="A151" s="37"/>
    </row>
    <row r="152" spans="1:1">
      <c r="A152" s="37"/>
    </row>
    <row r="153" spans="1:1">
      <c r="A153" s="37"/>
    </row>
    <row r="154" spans="1:1">
      <c r="A154" s="37"/>
    </row>
    <row r="155" spans="1:1">
      <c r="A155" s="37"/>
    </row>
    <row r="156" spans="1:1">
      <c r="A156" s="37"/>
    </row>
    <row r="157" spans="1:1">
      <c r="A157" s="37"/>
    </row>
    <row r="158" spans="1:1">
      <c r="A158" s="37"/>
    </row>
    <row r="159" spans="1:1">
      <c r="A159" s="37"/>
    </row>
    <row r="160" spans="1:1">
      <c r="A160" s="37"/>
    </row>
    <row r="161" spans="1:1">
      <c r="A161" s="37"/>
    </row>
    <row r="162" spans="1:1">
      <c r="A162" s="37"/>
    </row>
    <row r="163" spans="1:1">
      <c r="A163" s="37"/>
    </row>
    <row r="164" spans="1:1">
      <c r="A164" s="37"/>
    </row>
    <row r="165" spans="1:1">
      <c r="A165" s="37"/>
    </row>
    <row r="166" spans="1:1">
      <c r="A166" s="37"/>
    </row>
    <row r="167" spans="1:1">
      <c r="A167" s="37"/>
    </row>
    <row r="168" spans="1:1">
      <c r="A168" s="37"/>
    </row>
    <row r="169" spans="1:1">
      <c r="A169" s="37"/>
    </row>
    <row r="170" spans="1:1">
      <c r="A170" s="37"/>
    </row>
    <row r="171" spans="1:1">
      <c r="A171" s="37"/>
    </row>
    <row r="172" spans="1:1">
      <c r="A172" s="37"/>
    </row>
    <row r="173" spans="1:1">
      <c r="A173" s="37"/>
    </row>
    <row r="174" spans="1:1">
      <c r="A174" s="37"/>
    </row>
    <row r="175" spans="1:1">
      <c r="A175" s="37"/>
    </row>
    <row r="176" spans="1:1">
      <c r="A176" s="37"/>
    </row>
    <row r="177" spans="1:1">
      <c r="A177" s="37"/>
    </row>
    <row r="178" spans="1:1">
      <c r="A178" s="37"/>
    </row>
    <row r="179" spans="1:1">
      <c r="A179" s="37"/>
    </row>
    <row r="180" spans="1:1">
      <c r="A180" s="37"/>
    </row>
    <row r="181" spans="1:1">
      <c r="A181" s="37"/>
    </row>
    <row r="182" spans="1:1">
      <c r="A182" s="37"/>
    </row>
    <row r="183" spans="1:1">
      <c r="A183" s="37"/>
    </row>
    <row r="184" spans="1:1">
      <c r="A184" s="37"/>
    </row>
    <row r="185" spans="1:1">
      <c r="A185" s="37"/>
    </row>
    <row r="186" spans="1:1">
      <c r="A186" s="37"/>
    </row>
    <row r="187" spans="1:1">
      <c r="A187" s="37"/>
    </row>
    <row r="188" spans="1:1">
      <c r="A188" s="37"/>
    </row>
    <row r="189" spans="1:1">
      <c r="A189" s="37"/>
    </row>
  </sheetData>
  <mergeCells count="8">
    <mergeCell ref="E23:G23"/>
    <mergeCell ref="F22:G22"/>
    <mergeCell ref="C4:F4"/>
    <mergeCell ref="G4:G5"/>
    <mergeCell ref="A2:G2"/>
    <mergeCell ref="A3:G3"/>
    <mergeCell ref="A4:A5"/>
    <mergeCell ref="B4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15</vt:i4>
      </vt:variant>
    </vt:vector>
  </HeadingPairs>
  <TitlesOfParts>
    <vt:vector size="28" baseType="lpstr">
      <vt:lpstr>0. Фінплан-зведені показники</vt:lpstr>
      <vt:lpstr>0.1.Фінплан - зведені показники</vt:lpstr>
      <vt:lpstr>1.Фінансовий результат</vt:lpstr>
      <vt:lpstr>1.1.Фінансовий результат</vt:lpstr>
      <vt:lpstr>2.Розрахунки з бюджетом</vt:lpstr>
      <vt:lpstr>2.1Розрахунки з бюджетом</vt:lpstr>
      <vt:lpstr>3.Рух грошових коштів</vt:lpstr>
      <vt:lpstr>3.1.Рух грошових коштів</vt:lpstr>
      <vt:lpstr>4.Кап. інвестиції</vt:lpstr>
      <vt:lpstr>4.1.Кап. інвестиції</vt:lpstr>
      <vt:lpstr>5. Інша інформація</vt:lpstr>
      <vt:lpstr>6. Кофіцієнти</vt:lpstr>
      <vt:lpstr>5.1. Інша інформація</vt:lpstr>
      <vt:lpstr>'0.1.Фінплан - зведені показники'!Заголовки_для_печати</vt:lpstr>
      <vt:lpstr>'1.1.Фінансовий результат'!Заголовки_для_печати</vt:lpstr>
      <vt:lpstr>'2.1Розрахунки з бюджетом'!Заголовки_для_печати</vt:lpstr>
      <vt:lpstr>'3.1.Рух грошових коштів'!Заголовки_для_печати</vt:lpstr>
      <vt:lpstr>'0.1.Фінплан - зведені показники'!Область_печати</vt:lpstr>
      <vt:lpstr>'1.1.Фінансовий результат'!Область_печати</vt:lpstr>
      <vt:lpstr>'1.Фінансовий результат'!Область_печати</vt:lpstr>
      <vt:lpstr>'2.1Розрахунки з бюджетом'!Область_печати</vt:lpstr>
      <vt:lpstr>'3.1.Рух грошових коштів'!Область_печати</vt:lpstr>
      <vt:lpstr>'3.Рух грошових коштів'!Область_печати</vt:lpstr>
      <vt:lpstr>'4.1.Кап. інвестиції'!Область_печати</vt:lpstr>
      <vt:lpstr>'4.Кап. інвестиції'!Область_печати</vt:lpstr>
      <vt:lpstr>'5. Інша інформація'!Область_печати</vt:lpstr>
      <vt:lpstr>'5.1. Інша інформація'!Область_печати</vt:lpstr>
      <vt:lpstr>'6. Кофіцієнти'!Область_печати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Антонюк Андрій</cp:lastModifiedBy>
  <cp:lastPrinted>2019-08-07T14:19:03Z</cp:lastPrinted>
  <dcterms:created xsi:type="dcterms:W3CDTF">2003-03-13T16:00:22Z</dcterms:created>
  <dcterms:modified xsi:type="dcterms:W3CDTF">2021-06-01T06:10:13Z</dcterms:modified>
</cp:coreProperties>
</file>